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Kyros Insights Dropbox\Internal\Partnerships\Loyalty Academy\Assets\"/>
    </mc:Choice>
  </mc:AlternateContent>
  <xr:revisionPtr revIDLastSave="0" documentId="13_ncr:1_{B17D05F2-2195-406D-BCD4-8DB21A90B08E}" xr6:coauthVersionLast="45" xr6:coauthVersionMax="45" xr10:uidLastSave="{00000000-0000-0000-0000-000000000000}"/>
  <workbookProtection workbookAlgorithmName="SHA-512" workbookHashValue="8l5iIOhw4Pk0cXghUhfJrPLyROFwvSDZtCJpKFSOnzzmKyGFE0j6zAzm7QHv8UdPk8FFRWsJq09kv7zYsjDBYg==" workbookSaltValue="plQMrzwqq2XESW5qW2JuFQ==" workbookSpinCount="100000" lockStructure="1"/>
  <bookViews>
    <workbookView xWindow="-120" yWindow="-120" windowWidth="29040" windowHeight="15840" xr2:uid="{F4AF8ED2-4387-491C-90FC-75AD4961449C}"/>
  </bookViews>
  <sheets>
    <sheet name="About KYROS" sheetId="5" r:id="rId1"/>
    <sheet name="Info" sheetId="4" r:id="rId2"/>
    <sheet name="Inputs" sheetId="2" r:id="rId3"/>
    <sheet name="Outputs" sheetId="3" r:id="rId4"/>
    <sheet name="Details"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3" l="1"/>
  <c r="E8" i="3"/>
  <c r="E9" i="3"/>
  <c r="E10" i="3"/>
  <c r="E11" i="3"/>
  <c r="E12" i="3"/>
  <c r="E13" i="3"/>
  <c r="E14" i="3"/>
  <c r="E15" i="3"/>
  <c r="E16" i="3"/>
  <c r="E17" i="3"/>
  <c r="E6" i="3"/>
  <c r="D7" i="3"/>
  <c r="D8" i="3"/>
  <c r="D9" i="3"/>
  <c r="D10" i="3"/>
  <c r="D11" i="3"/>
  <c r="D12" i="3"/>
  <c r="D13" i="3"/>
  <c r="D14" i="3"/>
  <c r="D15" i="3"/>
  <c r="D16" i="3"/>
  <c r="D17" i="3"/>
  <c r="D6" i="3"/>
  <c r="I6" i="2"/>
  <c r="I7" i="2"/>
  <c r="I8" i="2"/>
  <c r="I9" i="2"/>
  <c r="I10" i="2"/>
  <c r="I11" i="2"/>
  <c r="I12" i="2"/>
  <c r="I13" i="2"/>
  <c r="I14" i="2"/>
  <c r="I15" i="2"/>
  <c r="I16" i="2"/>
  <c r="I17" i="2"/>
  <c r="I5" i="2"/>
  <c r="E6" i="2"/>
  <c r="E7" i="2" s="1"/>
  <c r="E8" i="2" s="1"/>
  <c r="E9" i="2" s="1"/>
  <c r="E11" i="2"/>
  <c r="E12" i="2"/>
  <c r="E13" i="2"/>
  <c r="E14" i="2"/>
  <c r="E15" i="2"/>
  <c r="E16" i="2"/>
  <c r="E17" i="2"/>
  <c r="E10" i="2"/>
  <c r="C10" i="3"/>
  <c r="C11" i="3"/>
  <c r="C12" i="3"/>
  <c r="C13" i="3"/>
  <c r="C14" i="3"/>
  <c r="C15" i="3"/>
  <c r="C16" i="3"/>
  <c r="C17" i="3"/>
  <c r="B10" i="3"/>
  <c r="B11" i="3"/>
  <c r="B12" i="3"/>
  <c r="B13" i="3"/>
  <c r="B14" i="3"/>
  <c r="B15" i="3"/>
  <c r="B16" i="3"/>
  <c r="B17" i="3"/>
  <c r="A5" i="3"/>
  <c r="A4" i="1"/>
  <c r="A6" i="3" l="1"/>
  <c r="A7" i="3" s="1"/>
  <c r="A8" i="3" s="1"/>
  <c r="A9" i="3" s="1"/>
  <c r="A10" i="3" s="1"/>
  <c r="A11" i="3" s="1"/>
  <c r="A12" i="3" s="1"/>
  <c r="A13" i="3" s="1"/>
  <c r="A14" i="3" s="1"/>
  <c r="A15" i="3" s="1"/>
  <c r="A16" i="3" s="1"/>
  <c r="A17" i="3" s="1"/>
  <c r="D4" i="1"/>
  <c r="C4" i="1"/>
  <c r="H4" i="1"/>
  <c r="A6" i="2"/>
  <c r="A7" i="2" s="1"/>
  <c r="A8" i="2" s="1"/>
  <c r="A9" i="2" l="1"/>
  <c r="A10" i="2" l="1"/>
  <c r="A11" i="2" l="1"/>
  <c r="A12" i="2" l="1"/>
  <c r="A13" i="2" l="1"/>
  <c r="A14" i="2" l="1"/>
  <c r="A15" i="2" l="1"/>
  <c r="A16" i="2" l="1"/>
  <c r="A17" i="2" l="1"/>
  <c r="A6" i="1" l="1"/>
  <c r="G6" i="1" l="1"/>
  <c r="C6" i="1"/>
  <c r="D6" i="1"/>
  <c r="A8" i="1"/>
  <c r="E4" i="1"/>
  <c r="F4" i="1" s="1"/>
  <c r="E6" i="1" l="1"/>
  <c r="H6" i="1" s="1"/>
  <c r="B6" i="3" s="1"/>
  <c r="A9" i="1"/>
  <c r="C8" i="1"/>
  <c r="E8" i="1" s="1"/>
  <c r="F8" i="1"/>
  <c r="F9" i="1"/>
  <c r="C9" i="1" l="1"/>
  <c r="E9" i="1" s="1"/>
  <c r="E11" i="1" s="1"/>
  <c r="A11" i="1"/>
  <c r="A15" i="1" l="1"/>
  <c r="A19" i="1" s="1"/>
  <c r="C11" i="1"/>
  <c r="C15" i="1" s="1"/>
  <c r="C19" i="1" s="1"/>
  <c r="D15" i="1" l="1"/>
  <c r="E15" i="1" s="1"/>
  <c r="E19" i="1" s="1"/>
  <c r="D11" i="1"/>
  <c r="A21" i="1"/>
  <c r="E13" i="1" l="1"/>
  <c r="A23" i="1"/>
  <c r="C21" i="1"/>
  <c r="D21" i="1"/>
  <c r="G21" i="1"/>
  <c r="D19" i="1"/>
  <c r="E21" i="1" l="1"/>
  <c r="A24" i="1"/>
  <c r="C23" i="1"/>
  <c r="E23" i="1" s="1"/>
  <c r="A26" i="1" l="1"/>
  <c r="C24" i="1"/>
  <c r="E24" i="1" s="1"/>
  <c r="E26" i="1" s="1"/>
  <c r="H21" i="1"/>
  <c r="B7" i="3" s="1"/>
  <c r="A30" i="1" l="1"/>
  <c r="A34" i="1" s="1"/>
  <c r="A36" i="1" s="1"/>
  <c r="C26" i="1"/>
  <c r="C30" i="1" s="1"/>
  <c r="C34" i="1" s="1"/>
  <c r="D36" i="1" l="1"/>
  <c r="G36" i="1"/>
  <c r="A38" i="1"/>
  <c r="C36" i="1"/>
  <c r="D30" i="1"/>
  <c r="E30" i="1" s="1"/>
  <c r="E34" i="1" s="1"/>
  <c r="D26" i="1"/>
  <c r="E36" i="1" l="1"/>
  <c r="H36" i="1" s="1"/>
  <c r="B8" i="3" s="1"/>
  <c r="A39" i="1"/>
  <c r="C38" i="1"/>
  <c r="E38" i="1" s="1"/>
  <c r="D34" i="1"/>
  <c r="E28" i="1"/>
  <c r="C39" i="1" l="1"/>
  <c r="E39" i="1" s="1"/>
  <c r="E41" i="1" s="1"/>
  <c r="A41" i="1"/>
  <c r="A45" i="1" s="1"/>
  <c r="H9" i="1"/>
  <c r="H8" i="1"/>
  <c r="C6" i="3" s="1"/>
  <c r="D45" i="1" l="1"/>
  <c r="A49" i="1"/>
  <c r="A51" i="1" s="1"/>
  <c r="C41" i="1"/>
  <c r="C45" i="1" s="1"/>
  <c r="H11" i="1"/>
  <c r="H15" i="1" s="1"/>
  <c r="F15" i="1" s="1"/>
  <c r="D51" i="1" l="1"/>
  <c r="A53" i="1"/>
  <c r="C51" i="1"/>
  <c r="G51" i="1"/>
  <c r="E45" i="1"/>
  <c r="C49" i="1"/>
  <c r="D41" i="1"/>
  <c r="H19" i="1"/>
  <c r="E51" i="1" l="1"/>
  <c r="H51" i="1" s="1"/>
  <c r="B9" i="3" s="1"/>
  <c r="C53" i="1"/>
  <c r="E53" i="1" s="1"/>
  <c r="A54" i="1"/>
  <c r="E43" i="1"/>
  <c r="E49" i="1"/>
  <c r="F19" i="1"/>
  <c r="F174" i="1" l="1"/>
  <c r="F158" i="1"/>
  <c r="F84" i="1"/>
  <c r="F173" i="1"/>
  <c r="F143" i="1"/>
  <c r="F114" i="1"/>
  <c r="F128" i="1"/>
  <c r="F68" i="1"/>
  <c r="F98" i="1"/>
  <c r="F39" i="1"/>
  <c r="H39" i="1" s="1"/>
  <c r="F159" i="1"/>
  <c r="F53" i="1"/>
  <c r="H53" i="1" s="1"/>
  <c r="C9" i="3" s="1"/>
  <c r="F99" i="1"/>
  <c r="F144" i="1"/>
  <c r="F129" i="1"/>
  <c r="F113" i="1"/>
  <c r="F83" i="1"/>
  <c r="F69" i="1"/>
  <c r="F54" i="1"/>
  <c r="F38" i="1"/>
  <c r="H38" i="1" s="1"/>
  <c r="C8" i="3" s="1"/>
  <c r="D49" i="1"/>
  <c r="C54" i="1"/>
  <c r="E54" i="1" s="1"/>
  <c r="H54" i="1" s="1"/>
  <c r="A56" i="1"/>
  <c r="A60" i="1" s="1"/>
  <c r="F23" i="1"/>
  <c r="H23" i="1" s="1"/>
  <c r="C7" i="3" s="1"/>
  <c r="F24" i="1"/>
  <c r="H24" i="1" s="1"/>
  <c r="E56" i="1" l="1"/>
  <c r="D60" i="1"/>
  <c r="A64" i="1"/>
  <c r="A66" i="1" s="1"/>
  <c r="C56" i="1"/>
  <c r="C60" i="1" s="1"/>
  <c r="H26" i="1"/>
  <c r="H30" i="1" s="1"/>
  <c r="H34" i="1" s="1"/>
  <c r="F34" i="1" s="1"/>
  <c r="E60" i="1" l="1"/>
  <c r="C64" i="1"/>
  <c r="H41" i="1"/>
  <c r="H45" i="1" s="1"/>
  <c r="D66" i="1"/>
  <c r="C66" i="1"/>
  <c r="G66" i="1"/>
  <c r="A68" i="1"/>
  <c r="D56" i="1"/>
  <c r="F30" i="1"/>
  <c r="E66" i="1" l="1"/>
  <c r="H66" i="1" s="1"/>
  <c r="C68" i="1"/>
  <c r="E68" i="1" s="1"/>
  <c r="H68" i="1" s="1"/>
  <c r="A69" i="1"/>
  <c r="H49" i="1"/>
  <c r="F45" i="1"/>
  <c r="E64" i="1"/>
  <c r="E58" i="1"/>
  <c r="C69" i="1" l="1"/>
  <c r="E69" i="1" s="1"/>
  <c r="H69" i="1" s="1"/>
  <c r="A71" i="1"/>
  <c r="A75" i="1" s="1"/>
  <c r="D64" i="1"/>
  <c r="F49" i="1"/>
  <c r="H56" i="1"/>
  <c r="H60" i="1" s="1"/>
  <c r="F60" i="1" l="1"/>
  <c r="H64" i="1"/>
  <c r="F64" i="1" s="1"/>
  <c r="C71" i="1"/>
  <c r="C75" i="1" s="1"/>
  <c r="D75" i="1"/>
  <c r="A79" i="1"/>
  <c r="A81" i="1" s="1"/>
  <c r="E71" i="1"/>
  <c r="H71" i="1" l="1"/>
  <c r="H75" i="1" s="1"/>
  <c r="H79" i="1" s="1"/>
  <c r="D71" i="1"/>
  <c r="E75" i="1"/>
  <c r="C79" i="1"/>
  <c r="D81" i="1"/>
  <c r="G81" i="1"/>
  <c r="A83" i="1"/>
  <c r="C81" i="1"/>
  <c r="F75" i="1" l="1"/>
  <c r="E81" i="1"/>
  <c r="H81" i="1" s="1"/>
  <c r="A84" i="1"/>
  <c r="C83" i="1"/>
  <c r="E83" i="1" s="1"/>
  <c r="H83" i="1" s="1"/>
  <c r="E73" i="1"/>
  <c r="E79" i="1"/>
  <c r="F79" i="1"/>
  <c r="D79" i="1" l="1"/>
  <c r="A86" i="1"/>
  <c r="A90" i="1" s="1"/>
  <c r="C84" i="1"/>
  <c r="E84" i="1" s="1"/>
  <c r="H84" i="1" s="1"/>
  <c r="H86" i="1" s="1"/>
  <c r="H90" i="1" s="1"/>
  <c r="D90" i="1" l="1"/>
  <c r="A94" i="1"/>
  <c r="A96" i="1" s="1"/>
  <c r="C86" i="1"/>
  <c r="C90" i="1" s="1"/>
  <c r="E86" i="1"/>
  <c r="H94" i="1"/>
  <c r="D86" i="1" l="1"/>
  <c r="E90" i="1"/>
  <c r="C94" i="1"/>
  <c r="G96" i="1"/>
  <c r="A98" i="1"/>
  <c r="D96" i="1"/>
  <c r="C96" i="1"/>
  <c r="E96" i="1" s="1"/>
  <c r="H96" i="1" s="1"/>
  <c r="C98" i="1" l="1"/>
  <c r="E98" i="1" s="1"/>
  <c r="H98" i="1" s="1"/>
  <c r="A99" i="1"/>
  <c r="E94" i="1"/>
  <c r="E88" i="1"/>
  <c r="F90" i="1"/>
  <c r="D94" i="1" l="1"/>
  <c r="F94" i="1"/>
  <c r="C99" i="1"/>
  <c r="E99" i="1" s="1"/>
  <c r="H99" i="1" s="1"/>
  <c r="H101" i="1" s="1"/>
  <c r="H105" i="1" s="1"/>
  <c r="A101" i="1"/>
  <c r="A105" i="1" s="1"/>
  <c r="H109" i="1" l="1"/>
  <c r="D105" i="1"/>
  <c r="A109" i="1"/>
  <c r="A111" i="1" s="1"/>
  <c r="C101" i="1"/>
  <c r="C105" i="1" s="1"/>
  <c r="E101" i="1"/>
  <c r="D101" i="1" l="1"/>
  <c r="E105" i="1"/>
  <c r="C109" i="1"/>
  <c r="D111" i="1"/>
  <c r="G111" i="1"/>
  <c r="A113" i="1"/>
  <c r="C111" i="1"/>
  <c r="E111" i="1" l="1"/>
  <c r="H111" i="1" s="1"/>
  <c r="A114" i="1"/>
  <c r="C113" i="1"/>
  <c r="E113" i="1" s="1"/>
  <c r="H113" i="1" s="1"/>
  <c r="E103" i="1"/>
  <c r="E109" i="1"/>
  <c r="F105" i="1"/>
  <c r="D109" i="1" l="1"/>
  <c r="F109" i="1"/>
  <c r="C114" i="1"/>
  <c r="E114" i="1" s="1"/>
  <c r="H114" i="1" s="1"/>
  <c r="H116" i="1" s="1"/>
  <c r="H120" i="1" s="1"/>
  <c r="A116" i="1"/>
  <c r="A120" i="1" s="1"/>
  <c r="C116" i="1" l="1"/>
  <c r="C120" i="1" s="1"/>
  <c r="D120" i="1"/>
  <c r="A124" i="1"/>
  <c r="A126" i="1" s="1"/>
  <c r="E116" i="1"/>
  <c r="H124" i="1"/>
  <c r="D116" i="1" l="1"/>
  <c r="D126" i="1"/>
  <c r="C126" i="1"/>
  <c r="G126" i="1"/>
  <c r="A128" i="1"/>
  <c r="E120" i="1"/>
  <c r="C124" i="1"/>
  <c r="E126" i="1" l="1"/>
  <c r="H126" i="1" s="1"/>
  <c r="E118" i="1"/>
  <c r="E124" i="1"/>
  <c r="D124" i="1" s="1"/>
  <c r="F120" i="1"/>
  <c r="A129" i="1"/>
  <c r="C128" i="1"/>
  <c r="E128" i="1" s="1"/>
  <c r="H128" i="1" s="1"/>
  <c r="A131" i="1" l="1"/>
  <c r="A135" i="1" s="1"/>
  <c r="C129" i="1"/>
  <c r="E129" i="1" s="1"/>
  <c r="H129" i="1" s="1"/>
  <c r="H131" i="1" s="1"/>
  <c r="H135" i="1" s="1"/>
  <c r="F124" i="1"/>
  <c r="H139" i="1" l="1"/>
  <c r="E131" i="1"/>
  <c r="C131" i="1"/>
  <c r="C135" i="1" s="1"/>
  <c r="D135" i="1"/>
  <c r="A139" i="1"/>
  <c r="A141" i="1" s="1"/>
  <c r="E135" i="1" l="1"/>
  <c r="C139" i="1"/>
  <c r="D131" i="1"/>
  <c r="D141" i="1"/>
  <c r="A143" i="1"/>
  <c r="C141" i="1"/>
  <c r="G141" i="1"/>
  <c r="E141" i="1" l="1"/>
  <c r="H141" i="1" s="1"/>
  <c r="A144" i="1"/>
  <c r="C143" i="1"/>
  <c r="E143" i="1" s="1"/>
  <c r="H143" i="1" s="1"/>
  <c r="E133" i="1"/>
  <c r="E139" i="1"/>
  <c r="F135" i="1"/>
  <c r="D139" i="1" l="1"/>
  <c r="F139" i="1"/>
  <c r="C144" i="1"/>
  <c r="E144" i="1" s="1"/>
  <c r="H144" i="1" s="1"/>
  <c r="H146" i="1" s="1"/>
  <c r="H150" i="1" s="1"/>
  <c r="A146" i="1"/>
  <c r="A150" i="1" s="1"/>
  <c r="H154" i="1" l="1"/>
  <c r="D150" i="1"/>
  <c r="A154" i="1"/>
  <c r="A156" i="1" s="1"/>
  <c r="C146" i="1"/>
  <c r="C150" i="1" s="1"/>
  <c r="E146" i="1"/>
  <c r="D146" i="1" l="1"/>
  <c r="E150" i="1"/>
  <c r="C154" i="1"/>
  <c r="D156" i="1"/>
  <c r="C156" i="1"/>
  <c r="A158" i="1"/>
  <c r="G156" i="1"/>
  <c r="E156" i="1" l="1"/>
  <c r="H156" i="1" s="1"/>
  <c r="C158" i="1"/>
  <c r="E158" i="1" s="1"/>
  <c r="H158" i="1" s="1"/>
  <c r="A159" i="1"/>
  <c r="E154" i="1"/>
  <c r="E148" i="1"/>
  <c r="F150" i="1"/>
  <c r="F154" i="1" l="1"/>
  <c r="D154" i="1"/>
  <c r="A161" i="1"/>
  <c r="A165" i="1" s="1"/>
  <c r="C159" i="1"/>
  <c r="E159" i="1" s="1"/>
  <c r="H159" i="1" s="1"/>
  <c r="H161" i="1" s="1"/>
  <c r="H165" i="1" s="1"/>
  <c r="H169" i="1" l="1"/>
  <c r="D165" i="1"/>
  <c r="A169" i="1"/>
  <c r="A171" i="1" s="1"/>
  <c r="C161" i="1"/>
  <c r="C165" i="1" s="1"/>
  <c r="E161" i="1"/>
  <c r="D161" i="1" l="1"/>
  <c r="E165" i="1"/>
  <c r="C169" i="1"/>
  <c r="D171" i="1"/>
  <c r="A173" i="1"/>
  <c r="C171" i="1"/>
  <c r="G171" i="1"/>
  <c r="E171" i="1" l="1"/>
  <c r="H171" i="1" s="1"/>
  <c r="C173" i="1"/>
  <c r="E173" i="1" s="1"/>
  <c r="H173" i="1" s="1"/>
  <c r="A174" i="1"/>
  <c r="E163" i="1"/>
  <c r="E169" i="1"/>
  <c r="F165" i="1"/>
  <c r="F169" i="1" l="1"/>
  <c r="D169" i="1"/>
  <c r="A176" i="1"/>
  <c r="C174" i="1"/>
  <c r="E174" i="1" s="1"/>
  <c r="H174" i="1" s="1"/>
  <c r="H176" i="1" s="1"/>
  <c r="H180" i="1" s="1"/>
  <c r="A180" i="1" l="1"/>
  <c r="E5" i="3"/>
  <c r="C176" i="1"/>
  <c r="C180" i="1" s="1"/>
  <c r="E176" i="1"/>
  <c r="D176" i="1" l="1"/>
  <c r="D180" i="1"/>
  <c r="E180" i="1" s="1"/>
  <c r="D5" i="3"/>
  <c r="E178" i="1" l="1"/>
  <c r="F18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tc={DE201000-2151-4EC9-BF7D-CF6106759779}</author>
    <author>tc={469279A7-418A-4E22-AE50-A5B2CDF44C1E}</author>
    <author>tc={E17E346A-C7F4-4B50-A425-AC9D73F9E890}</author>
    <author>tc={FC10D963-4EBD-44C3-B360-27070CDD91C2}</author>
  </authors>
  <commentList>
    <comment ref="D4" authorId="0" shapeId="0" xr:uid="{DE201000-2151-4EC9-BF7D-CF6106759779}">
      <text>
        <t>[Threaded comment]
Your version of Excel allows you to read this threaded comment; however, any edits to it will get removed if the file is opened in a newer version of Excel. Learn more: https://go.microsoft.com/fwlink/?linkid=870924
Comment:
    This is the URR on OS Pts = (To be redeemed) / Outstanding pts</t>
      </text>
    </comment>
    <comment ref="D6" authorId="1" shapeId="0" xr:uid="{469279A7-418A-4E22-AE50-A5B2CDF44C1E}">
      <text>
        <t>[Threaded comment]
Your version of Excel allows you to read this threaded comment; however, any edits to it will get removed if the file is opened in a newer version of Excel. Learn more: https://go.microsoft.com/fwlink/?linkid=870924
Comment:
    This is the current month URR (on earned points)</t>
      </text>
    </comment>
    <comment ref="G6" authorId="2" shapeId="0" xr:uid="{E17E346A-C7F4-4B50-A425-AC9D73F9E890}">
      <text>
        <t>[Threaded comment]
Your version of Excel allows you to read this threaded comment; however, any edits to it will get removed if the file is opened in a newer version of Excel. Learn more: https://go.microsoft.com/fwlink/?linkid=870924
Comment:
    Estimated</t>
      </text>
    </comment>
    <comment ref="D15" authorId="3" shapeId="0" xr:uid="{FC10D963-4EBD-44C3-B360-27070CDD91C2}">
      <text>
        <t>[Threaded comment]
Your version of Excel allows you to read this threaded comment; however, any edits to it will get removed if the file is opened in a newer version of Excel. Learn more: https://go.microsoft.com/fwlink/?linkid=870924
Comment:
    This is the URR on OS Pts = (To be redeemed) / Outstanding pts</t>
      </text>
    </comment>
  </commentList>
</comments>
</file>

<file path=xl/sharedStrings.xml><?xml version="1.0" encoding="utf-8"?>
<sst xmlns="http://schemas.openxmlformats.org/spreadsheetml/2006/main" count="208" uniqueCount="52">
  <si>
    <t>Points</t>
  </si>
  <si>
    <t>URR</t>
  </si>
  <si>
    <t>Redeemed</t>
  </si>
  <si>
    <t>Expired</t>
  </si>
  <si>
    <t>Outstanding</t>
  </si>
  <si>
    <t>Opening balance</t>
  </si>
  <si>
    <t>Final balance</t>
  </si>
  <si>
    <t>Rev Rec Rate</t>
  </si>
  <si>
    <t>Issued</t>
  </si>
  <si>
    <t>FVPP</t>
  </si>
  <si>
    <t>Change in URR Estimate</t>
  </si>
  <si>
    <t>CM URR</t>
  </si>
  <si>
    <t>Tab</t>
  </si>
  <si>
    <t>Description</t>
  </si>
  <si>
    <t>Definitions</t>
  </si>
  <si>
    <t>Inputs</t>
  </si>
  <si>
    <t>Outputs</t>
  </si>
  <si>
    <t>Details</t>
  </si>
  <si>
    <t>Ending Deferred</t>
  </si>
  <si>
    <t>Revenue Balance</t>
  </si>
  <si>
    <t>Revenue</t>
  </si>
  <si>
    <t>to Defer</t>
  </si>
  <si>
    <t>to Recognize</t>
  </si>
  <si>
    <t>Ending Revenue</t>
  </si>
  <si>
    <t>Recognition Rate</t>
  </si>
  <si>
    <t>URR on OS</t>
  </si>
  <si>
    <t>Future</t>
  </si>
  <si>
    <t>Redemptions</t>
  </si>
  <si>
    <t>Revenue Recognition Rate</t>
  </si>
  <si>
    <t>To Be Redeemed</t>
  </si>
  <si>
    <t xml:space="preserve">KYROS Insights makes no warranties, or guarantees, express or implied, nor does it represent that the Materials are accurate, complete, reliable, or free of errors or that they pertain to your particular circumstance or situation. To the extent permitted by law, we disclaim any and all liability, loss, expenses or damage pertaining to your use, or download of the Materials. </t>
  </si>
  <si>
    <t>Disclaimer</t>
  </si>
  <si>
    <t>Enter data and actuarial estimates on this tab each month.
The 12/31/19 row represents the opening point and liability balance.
Issued, redeemed and expired points should be incremental.
URR and FVPP estimates usually come from your actuary.</t>
  </si>
  <si>
    <t>This tab shows the amount of revenue to be deferred and recognized each month, along with the deferred revenue balance at the end of the month.</t>
  </si>
  <si>
    <t>This tab contains the calculations that use the Inputs to produce the Outputs.</t>
  </si>
  <si>
    <t>Equal to deferred revenue balance divided by number of points expected to be redeemed; represents amount of revenue to recognize for each point redeemed in the next month.</t>
  </si>
  <si>
    <t>URR on outstanding points = Percent of all points currently outstanding that will ultimately be redeemed.</t>
  </si>
  <si>
    <t>Fair value per point = The value to the customer of each point that will ultimately be redeemed.</t>
  </si>
  <si>
    <t>Current month URR = Percent of all points earned in the current month that have already or will ultimately be redeemed.</t>
  </si>
  <si>
    <t>This information and materials available in this Excel file ("Materials") are for informational or educational purposes only.  Opinions, reviews, and recommendations expressed through the Materials are the opinions of the individual author and may not be used as a substitute for competent professional advice.  The Materials should not form the primary basis for any decision that you make in relation to matters referred to herein.  Please carefully review the Materials and perform such due diligence as you deem fit, including consulting your own independent legal, tax, accountancy and other professional or specialist advisors, as necessary or appropriate.  </t>
  </si>
  <si>
    <t>Deferred Revenue</t>
  </si>
  <si>
    <t>Deferred Rev</t>
  </si>
  <si>
    <t>Balance</t>
  </si>
  <si>
    <t>Purple cells also represent inputs.  These numbers typically come from your actuary each month-end.</t>
  </si>
  <si>
    <t>Blue cells represent monthly inputs.  These numbers typically come from accounting, though your actuary can provide them as well.</t>
  </si>
  <si>
    <t>Green cells represent one-time inputs. These numbers typically come from accounting.</t>
  </si>
  <si>
    <t>Orange cells represent formulas that should not be changed.</t>
  </si>
  <si>
    <t xml:space="preserve">KYROS Insights is the only actuarial firm globally that is solely focused on loyalty programs. 
We have built a set of proprietary actuarial tools designed from the ground up to solve problems for loyalty programs. This includes the actuarial and machine learning tools we use on the back end to perform our analyses and the KYROS Dashboard we use to present those results to our customers on the front end.
We’ve gained our experience through working with many of the world’s largest loyalty programs. Over the years we’ve worked with most of the major hotel chains, several of the world’s largest frequent flyer programs, several large financial institutions and nearly all the worlds online travel agencies. We’ve helped programs manage multiple billion dollars in liabilities. </t>
  </si>
  <si>
    <t>Want to learn more?</t>
  </si>
  <si>
    <t>Visit our website</t>
  </si>
  <si>
    <t>Email us</t>
  </si>
  <si>
    <t>Watch this video to learn how to use this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</si>
</sst>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3" formatCode="_(* #,##0.00_);_(* \(#,##0.00\);_(* &quot;-&quot;??_);_(@_)"/>
    <numFmt numFmtId="164" formatCode="0.0%"/>
    <numFmt numFmtId="165" formatCode="#,##0.000_);\(#,##0.000\)"/>
    <numFmt numFmtId="166" formatCode="[$-409]d\-mmm\-yy;@"/>
    <numFmt numFmtId="167" formatCode="&quot;$&quot;#,##0.000_);\(&quot;$&quot;#,##0.000\)"/>
  </numFmts>
  <fonts count="12" x14ac:knownFonts="1">
    <font>
      <sz val="11"/>
      <color theme="1"/>
      <name val="Calibri"/>
      <family val="2"/>
      <scheme val="minor"/>
    </font>
    <font>
      <sz val="11"/>
      <color theme="1"/>
      <name val="Calibri"/>
      <family val="2"/>
      <scheme val="minor"/>
    </font>
    <font>
      <sz val="11"/>
      <color rgb="FF0000CC"/>
      <name val="Calibri"/>
      <family val="2"/>
      <scheme val="minor"/>
    </font>
    <font>
      <sz val="11"/>
      <color rgb="FF00B050"/>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z val="11"/>
      <color rgb="FF7030A0"/>
      <name val="Calibri"/>
      <family val="2"/>
      <scheme val="minor"/>
    </font>
    <font>
      <sz val="11"/>
      <color rgb="FFC00000"/>
      <name val="Calibri"/>
      <family val="2"/>
      <scheme val="minor"/>
    </font>
    <font>
      <u/>
      <sz val="11"/>
      <color theme="10"/>
      <name val="Calibri"/>
      <family val="2"/>
      <scheme val="minor"/>
    </font>
    <font>
      <u/>
      <sz val="16"/>
      <color theme="1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E4D5F7"/>
        <bgColor indexed="64"/>
      </patternFill>
    </fill>
    <fill>
      <patternFill patternType="solid">
        <fgColor theme="8" tint="0.79998168889431442"/>
        <bgColor indexed="64"/>
      </patternFill>
    </fill>
  </fills>
  <borders count="29">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cellStyleXfs>
  <cellXfs count="110">
    <xf numFmtId="0" fontId="0" fillId="0" borderId="0" xfId="0"/>
    <xf numFmtId="0" fontId="0" fillId="0" borderId="0" xfId="0" applyFill="1"/>
    <xf numFmtId="0" fontId="0" fillId="4" borderId="0" xfId="0" applyFill="1"/>
    <xf numFmtId="0" fontId="6" fillId="6" borderId="3" xfId="0" applyFont="1" applyFill="1" applyBorder="1" applyAlignment="1">
      <alignment horizontal="centerContinuous"/>
    </xf>
    <xf numFmtId="0" fontId="6" fillId="6" borderId="4" xfId="0" applyFont="1" applyFill="1" applyBorder="1" applyAlignment="1">
      <alignment horizontal="centerContinuous"/>
    </xf>
    <xf numFmtId="0" fontId="0" fillId="6" borderId="9" xfId="0" applyFill="1" applyBorder="1" applyAlignment="1">
      <alignment wrapText="1"/>
    </xf>
    <xf numFmtId="14" fontId="0" fillId="4" borderId="0" xfId="0" applyNumberFormat="1" applyFill="1"/>
    <xf numFmtId="0" fontId="0" fillId="4" borderId="0" xfId="0" applyFill="1" applyAlignment="1">
      <alignment horizontal="center"/>
    </xf>
    <xf numFmtId="0" fontId="0" fillId="6" borderId="8" xfId="0" applyFill="1" applyBorder="1" applyAlignment="1">
      <alignment horizontal="center" vertical="center"/>
    </xf>
    <xf numFmtId="0" fontId="0" fillId="5" borderId="8" xfId="0" applyFill="1" applyBorder="1" applyAlignment="1">
      <alignment horizontal="center" vertical="center"/>
    </xf>
    <xf numFmtId="0" fontId="0" fillId="5" borderId="12" xfId="0" applyFill="1" applyBorder="1" applyAlignment="1">
      <alignment horizontal="center" vertical="center"/>
    </xf>
    <xf numFmtId="0" fontId="0" fillId="5" borderId="6" xfId="0" applyFill="1" applyBorder="1" applyAlignment="1">
      <alignment horizontal="left" wrapText="1"/>
    </xf>
    <xf numFmtId="0" fontId="0" fillId="5" borderId="7" xfId="0" applyFill="1" applyBorder="1" applyAlignment="1">
      <alignment horizontal="left" wrapText="1"/>
    </xf>
    <xf numFmtId="0" fontId="0" fillId="5" borderId="10" xfId="0" applyFill="1" applyBorder="1" applyAlignment="1">
      <alignment horizontal="center" vertical="center"/>
    </xf>
    <xf numFmtId="0" fontId="0" fillId="5" borderId="11" xfId="0" applyFill="1" applyBorder="1" applyAlignment="1">
      <alignment horizontal="left" vertical="center" wrapText="1"/>
    </xf>
    <xf numFmtId="0" fontId="0" fillId="4" borderId="1" xfId="0" applyFill="1" applyBorder="1" applyAlignment="1">
      <alignment horizontal="center"/>
    </xf>
    <xf numFmtId="0" fontId="0" fillId="4" borderId="0" xfId="0"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wrapText="1"/>
    </xf>
    <xf numFmtId="0" fontId="0" fillId="6" borderId="10" xfId="0" applyFill="1" applyBorder="1" applyAlignment="1">
      <alignment horizontal="center" vertical="center" wrapText="1"/>
    </xf>
    <xf numFmtId="0" fontId="0" fillId="6" borderId="11" xfId="0" applyFill="1" applyBorder="1" applyAlignment="1">
      <alignment vertical="center" wrapText="1"/>
    </xf>
    <xf numFmtId="0" fontId="6" fillId="5" borderId="3" xfId="0" applyFont="1" applyFill="1" applyBorder="1" applyAlignment="1">
      <alignment horizontal="center"/>
    </xf>
    <xf numFmtId="0" fontId="6" fillId="5" borderId="13" xfId="0" applyFont="1" applyFill="1" applyBorder="1" applyAlignment="1">
      <alignment horizontal="center"/>
    </xf>
    <xf numFmtId="0" fontId="2" fillId="4" borderId="0" xfId="0" applyFont="1" applyFill="1"/>
    <xf numFmtId="0" fontId="3" fillId="4" borderId="0" xfId="0" applyFont="1" applyFill="1"/>
    <xf numFmtId="0" fontId="6" fillId="3" borderId="2" xfId="0" applyFont="1" applyFill="1" applyBorder="1" applyAlignment="1">
      <alignment horizontal="center"/>
    </xf>
    <xf numFmtId="0" fontId="0" fillId="6" borderId="17" xfId="0" applyFill="1" applyBorder="1"/>
    <xf numFmtId="0" fontId="0" fillId="6" borderId="18" xfId="0" applyFill="1" applyBorder="1"/>
    <xf numFmtId="0" fontId="0" fillId="6" borderId="19" xfId="0" applyFill="1" applyBorder="1"/>
    <xf numFmtId="37" fontId="0" fillId="6" borderId="0" xfId="1" applyNumberFormat="1" applyFont="1" applyFill="1" applyBorder="1"/>
    <xf numFmtId="167" fontId="0" fillId="6" borderId="0" xfId="1" applyNumberFormat="1" applyFont="1" applyFill="1" applyBorder="1"/>
    <xf numFmtId="165" fontId="0" fillId="6" borderId="0" xfId="1" applyNumberFormat="1" applyFont="1" applyFill="1" applyBorder="1"/>
    <xf numFmtId="164" fontId="0" fillId="6" borderId="0" xfId="2" applyNumberFormat="1" applyFont="1" applyFill="1" applyBorder="1"/>
    <xf numFmtId="39" fontId="0" fillId="6" borderId="0" xfId="1" applyNumberFormat="1" applyFont="1" applyFill="1" applyBorder="1"/>
    <xf numFmtId="37" fontId="0" fillId="6" borderId="21" xfId="1" applyNumberFormat="1" applyFont="1" applyFill="1" applyBorder="1"/>
    <xf numFmtId="167" fontId="3" fillId="6" borderId="0" xfId="1" applyNumberFormat="1" applyFont="1" applyFill="1" applyBorder="1"/>
    <xf numFmtId="37" fontId="0" fillId="6" borderId="20" xfId="1" applyNumberFormat="1" applyFont="1" applyFill="1" applyBorder="1"/>
    <xf numFmtId="37" fontId="0" fillId="6" borderId="22" xfId="1" applyNumberFormat="1" applyFont="1" applyFill="1" applyBorder="1"/>
    <xf numFmtId="37" fontId="0" fillId="6" borderId="1" xfId="1" applyNumberFormat="1" applyFont="1" applyFill="1" applyBorder="1"/>
    <xf numFmtId="167" fontId="0" fillId="6" borderId="1" xfId="1" applyNumberFormat="1" applyFont="1" applyFill="1" applyBorder="1"/>
    <xf numFmtId="165" fontId="0" fillId="6" borderId="1" xfId="1" applyNumberFormat="1" applyFont="1" applyFill="1" applyBorder="1"/>
    <xf numFmtId="5" fontId="0" fillId="6" borderId="23" xfId="1" applyNumberFormat="1" applyFont="1" applyFill="1" applyBorder="1"/>
    <xf numFmtId="37" fontId="4" fillId="6" borderId="20" xfId="1" applyNumberFormat="1" applyFont="1" applyFill="1" applyBorder="1"/>
    <xf numFmtId="164" fontId="4" fillId="6" borderId="0" xfId="2" applyNumberFormat="1" applyFont="1" applyFill="1" applyBorder="1"/>
    <xf numFmtId="5" fontId="4" fillId="6" borderId="0" xfId="1" applyNumberFormat="1" applyFont="1" applyFill="1" applyBorder="1"/>
    <xf numFmtId="5" fontId="4" fillId="6" borderId="21" xfId="1" applyNumberFormat="1" applyFont="1" applyFill="1" applyBorder="1"/>
    <xf numFmtId="165" fontId="4" fillId="6" borderId="0" xfId="1" applyNumberFormat="1" applyFont="1" applyFill="1" applyBorder="1"/>
    <xf numFmtId="5" fontId="0" fillId="6" borderId="1" xfId="1" applyNumberFormat="1" applyFont="1" applyFill="1" applyBorder="1"/>
    <xf numFmtId="37" fontId="5" fillId="6" borderId="17" xfId="1" applyNumberFormat="1" applyFont="1" applyFill="1" applyBorder="1"/>
    <xf numFmtId="37" fontId="5" fillId="6" borderId="18" xfId="1" applyNumberFormat="1" applyFont="1" applyFill="1" applyBorder="1"/>
    <xf numFmtId="5" fontId="4" fillId="6" borderId="20" xfId="1" applyNumberFormat="1" applyFont="1" applyFill="1" applyBorder="1"/>
    <xf numFmtId="37" fontId="4" fillId="6" borderId="0" xfId="1" applyNumberFormat="1" applyFont="1" applyFill="1" applyBorder="1"/>
    <xf numFmtId="165" fontId="4" fillId="6" borderId="21" xfId="1" applyNumberFormat="1" applyFont="1" applyFill="1" applyBorder="1"/>
    <xf numFmtId="37" fontId="4" fillId="6" borderId="22" xfId="1" applyNumberFormat="1" applyFont="1" applyFill="1" applyBorder="1"/>
    <xf numFmtId="37" fontId="4" fillId="6" borderId="1" xfId="1" applyNumberFormat="1" applyFont="1" applyFill="1" applyBorder="1"/>
    <xf numFmtId="165" fontId="4" fillId="6" borderId="23" xfId="1" applyNumberFormat="1" applyFont="1" applyFill="1" applyBorder="1"/>
    <xf numFmtId="37" fontId="4" fillId="6" borderId="25" xfId="1" applyNumberFormat="1" applyFont="1" applyFill="1" applyBorder="1"/>
    <xf numFmtId="37" fontId="4" fillId="6" borderId="26" xfId="1" applyNumberFormat="1" applyFont="1" applyFill="1" applyBorder="1"/>
    <xf numFmtId="37" fontId="4" fillId="6" borderId="27" xfId="1" applyNumberFormat="1" applyFont="1" applyFill="1" applyBorder="1"/>
    <xf numFmtId="37" fontId="4" fillId="4" borderId="0" xfId="1" applyNumberFormat="1" applyFont="1" applyFill="1" applyBorder="1"/>
    <xf numFmtId="0" fontId="0" fillId="4" borderId="0" xfId="0" applyFill="1" applyBorder="1"/>
    <xf numFmtId="5" fontId="9" fillId="6" borderId="18" xfId="1" applyNumberFormat="1" applyFont="1" applyFill="1" applyBorder="1"/>
    <xf numFmtId="167" fontId="9" fillId="6" borderId="19" xfId="1" applyNumberFormat="1" applyFont="1" applyFill="1" applyBorder="1"/>
    <xf numFmtId="37" fontId="9" fillId="6" borderId="20" xfId="1" applyNumberFormat="1" applyFont="1" applyFill="1" applyBorder="1"/>
    <xf numFmtId="164" fontId="9" fillId="6" borderId="0" xfId="2" applyNumberFormat="1" applyFont="1" applyFill="1" applyBorder="1"/>
    <xf numFmtId="164" fontId="9" fillId="6" borderId="1" xfId="2" applyNumberFormat="1" applyFont="1" applyFill="1" applyBorder="1"/>
    <xf numFmtId="167" fontId="9" fillId="6" borderId="0" xfId="1" applyNumberFormat="1" applyFont="1" applyFill="1" applyBorder="1"/>
    <xf numFmtId="5" fontId="9" fillId="6" borderId="21" xfId="1" applyNumberFormat="1" applyFont="1" applyFill="1" applyBorder="1"/>
    <xf numFmtId="166" fontId="0" fillId="4" borderId="0" xfId="0" applyNumberFormat="1" applyFill="1" applyAlignment="1">
      <alignment horizontal="left"/>
    </xf>
    <xf numFmtId="0" fontId="0" fillId="4" borderId="0" xfId="0" applyFill="1" applyAlignment="1">
      <alignment horizontal="left"/>
    </xf>
    <xf numFmtId="17" fontId="0" fillId="4" borderId="0" xfId="0" applyNumberFormat="1" applyFill="1" applyAlignment="1">
      <alignment horizontal="left"/>
    </xf>
    <xf numFmtId="0" fontId="0" fillId="4" borderId="14" xfId="0" applyFill="1" applyBorder="1"/>
    <xf numFmtId="0" fontId="0" fillId="4" borderId="15" xfId="0" applyFill="1" applyBorder="1" applyAlignment="1">
      <alignment horizontal="center"/>
    </xf>
    <xf numFmtId="0" fontId="10" fillId="4" borderId="15" xfId="3" applyFill="1" applyBorder="1" applyAlignment="1">
      <alignment horizontal="center"/>
    </xf>
    <xf numFmtId="0" fontId="0" fillId="4" borderId="16" xfId="0" applyFill="1" applyBorder="1"/>
    <xf numFmtId="0" fontId="0" fillId="4" borderId="15" xfId="0" applyFill="1" applyBorder="1"/>
    <xf numFmtId="0" fontId="0" fillId="4" borderId="15" xfId="0"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8" fillId="7" borderId="16"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0" fillId="6" borderId="14"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1" fillId="8" borderId="2" xfId="3" applyFont="1" applyFill="1" applyBorder="1" applyAlignment="1">
      <alignment horizontal="center" vertical="center"/>
    </xf>
    <xf numFmtId="14" fontId="0" fillId="4" borderId="0" xfId="0" applyNumberFormat="1" applyFill="1" applyProtection="1">
      <protection locked="0"/>
    </xf>
    <xf numFmtId="37" fontId="5" fillId="2" borderId="17" xfId="1" applyNumberFormat="1" applyFont="1" applyFill="1" applyBorder="1" applyProtection="1">
      <protection locked="0"/>
    </xf>
    <xf numFmtId="37" fontId="5" fillId="2" borderId="18" xfId="1" applyNumberFormat="1" applyFont="1" applyFill="1" applyBorder="1" applyProtection="1">
      <protection locked="0"/>
    </xf>
    <xf numFmtId="37" fontId="2" fillId="2" borderId="18" xfId="1" applyNumberFormat="1" applyFont="1" applyFill="1" applyBorder="1" applyProtection="1">
      <protection locked="0"/>
    </xf>
    <xf numFmtId="37" fontId="2" fillId="2" borderId="20" xfId="1" applyNumberFormat="1" applyFont="1" applyFill="1" applyBorder="1" applyProtection="1">
      <protection locked="0"/>
    </xf>
    <xf numFmtId="37" fontId="2" fillId="2" borderId="0" xfId="1" applyNumberFormat="1" applyFont="1" applyFill="1" applyBorder="1" applyProtection="1">
      <protection locked="0"/>
    </xf>
    <xf numFmtId="37" fontId="2" fillId="2" borderId="22" xfId="1" applyNumberFormat="1" applyFont="1" applyFill="1" applyBorder="1" applyProtection="1">
      <protection locked="0"/>
    </xf>
    <xf numFmtId="37" fontId="2" fillId="2" borderId="1" xfId="1" applyNumberFormat="1" applyFont="1" applyFill="1" applyBorder="1" applyProtection="1">
      <protection locked="0"/>
    </xf>
    <xf numFmtId="37" fontId="3" fillId="3" borderId="24" xfId="1" applyNumberFormat="1" applyFont="1" applyFill="1" applyBorder="1" applyProtection="1">
      <protection locked="0"/>
    </xf>
    <xf numFmtId="164" fontId="8" fillId="7" borderId="18" xfId="2" applyNumberFormat="1" applyFont="1" applyFill="1" applyBorder="1" applyProtection="1">
      <protection locked="0"/>
    </xf>
    <xf numFmtId="165" fontId="8" fillId="7" borderId="18" xfId="1" applyNumberFormat="1" applyFont="1" applyFill="1" applyBorder="1" applyProtection="1">
      <protection locked="0"/>
    </xf>
    <xf numFmtId="164" fontId="8" fillId="7" borderId="0" xfId="2" applyNumberFormat="1" applyFont="1" applyFill="1" applyBorder="1" applyProtection="1">
      <protection locked="0"/>
    </xf>
    <xf numFmtId="167" fontId="8" fillId="7" borderId="0" xfId="1" applyNumberFormat="1" applyFont="1" applyFill="1" applyBorder="1" applyProtection="1">
      <protection locked="0"/>
    </xf>
    <xf numFmtId="165" fontId="8" fillId="7" borderId="0" xfId="1" applyNumberFormat="1" applyFont="1" applyFill="1" applyBorder="1" applyProtection="1">
      <protection locked="0"/>
    </xf>
    <xf numFmtId="164" fontId="8" fillId="7" borderId="1" xfId="2" applyNumberFormat="1" applyFont="1" applyFill="1" applyBorder="1" applyProtection="1">
      <protection locked="0"/>
    </xf>
    <xf numFmtId="165" fontId="8" fillId="7" borderId="1" xfId="1" applyNumberFormat="1" applyFont="1" applyFill="1" applyBorder="1" applyProtection="1">
      <protection locked="0"/>
    </xf>
    <xf numFmtId="5" fontId="3" fillId="3" borderId="28" xfId="1" applyNumberFormat="1" applyFont="1" applyFill="1" applyBorder="1" applyProtection="1">
      <protection locked="0"/>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E4D5F7"/>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1990725</xdr:colOff>
      <xdr:row>3</xdr:row>
      <xdr:rowOff>161925</xdr:rowOff>
    </xdr:from>
    <xdr:to>
      <xdr:col>1</xdr:col>
      <xdr:colOff>3840861</xdr:colOff>
      <xdr:row>5</xdr:row>
      <xdr:rowOff>146685</xdr:rowOff>
    </xdr:to>
    <xdr:pic>
      <xdr:nvPicPr>
        <xdr:cNvPr id="3" name="Picture 2">
          <a:extLst>
            <a:ext uri="{FF2B5EF4-FFF2-40B4-BE49-F238E27FC236}">
              <a16:creationId xmlns:a16="http://schemas.microsoft.com/office/drawing/2014/main" id="{813ED43A-DFDD-47A4-A2F5-BA6BB233B6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00325" y="742950"/>
          <a:ext cx="1850136" cy="36576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ulie Hagerstrand" id="{EE576C33-B708-4BFC-A307-9D02252030BD}" userId="Julie Hagerstrand"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0-03-18T17:12:32.52" personId="{EE576C33-B708-4BFC-A307-9D02252030BD}" id="{DE201000-2151-4EC9-BF7D-CF6106759779}">
    <text>This is the URR on OS Pts = (To be redeemed) / Outstanding pts</text>
  </threadedComment>
  <threadedComment ref="D6" dT="2020-03-18T17:08:38.32" personId="{EE576C33-B708-4BFC-A307-9D02252030BD}" id="{469279A7-418A-4E22-AE50-A5B2CDF44C1E}">
    <text>This is the current month URR (on earned points)</text>
  </threadedComment>
  <threadedComment ref="G6" dT="2020-03-18T17:11:58.81" personId="{EE576C33-B708-4BFC-A307-9D02252030BD}" id="{E17E346A-C7F4-4B50-A425-AC9D73F9E890}">
    <text>Estimated</text>
  </threadedComment>
  <threadedComment ref="D15" dT="2020-03-18T17:12:32.52" personId="{EE576C33-B708-4BFC-A307-9D02252030BD}" id="{FC10D963-4EBD-44C3-B360-27070CDD91C2}">
    <text>This is the URR on OS Pts = (To be redeemed) / Outstanding pts</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len.llaguno@kyrosinsights.com" TargetMode="External"/><Relationship Id="rId1" Type="http://schemas.openxmlformats.org/officeDocument/2006/relationships/hyperlink" Target="https://www.kyrosinsights.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kyros.hubs.vidyard.com/watch/5qxxQqXG23wpRM7QAfkT1T?"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7A9D-19BC-4841-9FFC-6BC1FFF12AA6}">
  <dimension ref="B3:B12"/>
  <sheetViews>
    <sheetView tabSelected="1" workbookViewId="0"/>
  </sheetViews>
  <sheetFormatPr defaultRowHeight="15" x14ac:dyDescent="0.25"/>
  <cols>
    <col min="1" max="1" width="9.140625" style="2"/>
    <col min="2" max="2" width="86.85546875" style="2" customWidth="1"/>
    <col min="3" max="16384" width="9.140625" style="2"/>
  </cols>
  <sheetData>
    <row r="3" spans="2:2" ht="15.75" thickBot="1" x14ac:dyDescent="0.3"/>
    <row r="4" spans="2:2" x14ac:dyDescent="0.25">
      <c r="B4" s="71"/>
    </row>
    <row r="5" spans="2:2" x14ac:dyDescent="0.25">
      <c r="B5" s="75"/>
    </row>
    <row r="6" spans="2:2" x14ac:dyDescent="0.25">
      <c r="B6" s="75"/>
    </row>
    <row r="7" spans="2:2" ht="180" x14ac:dyDescent="0.25">
      <c r="B7" s="76" t="s">
        <v>47</v>
      </c>
    </row>
    <row r="8" spans="2:2" x14ac:dyDescent="0.25">
      <c r="B8" s="75"/>
    </row>
    <row r="9" spans="2:2" x14ac:dyDescent="0.25">
      <c r="B9" s="72" t="s">
        <v>48</v>
      </c>
    </row>
    <row r="10" spans="2:2" x14ac:dyDescent="0.25">
      <c r="B10" s="73" t="s">
        <v>49</v>
      </c>
    </row>
    <row r="11" spans="2:2" x14ac:dyDescent="0.25">
      <c r="B11" s="73" t="s">
        <v>50</v>
      </c>
    </row>
    <row r="12" spans="2:2" ht="15.75" thickBot="1" x14ac:dyDescent="0.3">
      <c r="B12" s="74"/>
    </row>
  </sheetData>
  <sheetProtection algorithmName="SHA-512" hashValue="HxgxHDnwwy8ok1B6Yc4BQtBRqx9lX/p8drCURrR9DoBf0exF25CBVs8Af6FkQ5LEieSa1PEp07qtxGnCMyFt8w==" saltValue="IQ+8/TvYCCVZ6DiZrwM83g==" spinCount="100000" sheet="1" objects="1" scenarios="1"/>
  <hyperlinks>
    <hyperlink ref="B10" r:id="rId1" xr:uid="{C2BB7DF9-3A2D-4DB9-B9B1-89F82819306A}"/>
    <hyperlink ref="B11" r:id="rId2" xr:uid="{8758DDA7-AC55-4E6D-B690-6ABF69E654A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3F57B-395E-4B98-837C-8371C714D208}">
  <dimension ref="B1:G11"/>
  <sheetViews>
    <sheetView workbookViewId="0"/>
  </sheetViews>
  <sheetFormatPr defaultColWidth="9.140625" defaultRowHeight="15" x14ac:dyDescent="0.25"/>
  <cols>
    <col min="1" max="1" width="9.140625" style="2"/>
    <col min="2" max="2" width="16.140625" style="2" bestFit="1" customWidth="1"/>
    <col min="3" max="3" width="69.28515625" style="2" customWidth="1"/>
    <col min="4" max="6" width="9.140625" style="2"/>
    <col min="7" max="7" width="100.42578125" style="2" customWidth="1"/>
    <col min="8" max="16384" width="9.140625" style="2"/>
  </cols>
  <sheetData>
    <row r="1" spans="2:7" ht="15.75" thickBot="1" x14ac:dyDescent="0.3"/>
    <row r="2" spans="2:7" ht="15.75" customHeight="1" thickBot="1" x14ac:dyDescent="0.3">
      <c r="B2" s="21" t="s">
        <v>12</v>
      </c>
      <c r="C2" s="22" t="s">
        <v>13</v>
      </c>
      <c r="G2" s="25" t="s">
        <v>31</v>
      </c>
    </row>
    <row r="3" spans="2:7" ht="60" x14ac:dyDescent="0.25">
      <c r="B3" s="10" t="s">
        <v>15</v>
      </c>
      <c r="C3" s="11" t="s">
        <v>32</v>
      </c>
      <c r="G3" s="77" t="s">
        <v>39</v>
      </c>
    </row>
    <row r="4" spans="2:7" ht="30" x14ac:dyDescent="0.25">
      <c r="B4" s="9" t="s">
        <v>16</v>
      </c>
      <c r="C4" s="12" t="s">
        <v>33</v>
      </c>
      <c r="G4" s="78"/>
    </row>
    <row r="5" spans="2:7" ht="30.75" thickBot="1" x14ac:dyDescent="0.3">
      <c r="B5" s="13" t="s">
        <v>17</v>
      </c>
      <c r="C5" s="14" t="s">
        <v>34</v>
      </c>
      <c r="G5" s="79"/>
    </row>
    <row r="6" spans="2:7" ht="15.75" thickBot="1" x14ac:dyDescent="0.3">
      <c r="G6" s="77" t="s">
        <v>30</v>
      </c>
    </row>
    <row r="7" spans="2:7" ht="15.75" customHeight="1" thickBot="1" x14ac:dyDescent="0.3">
      <c r="B7" s="3" t="s">
        <v>14</v>
      </c>
      <c r="C7" s="4"/>
      <c r="G7" s="78"/>
    </row>
    <row r="8" spans="2:7" ht="30.75" thickBot="1" x14ac:dyDescent="0.3">
      <c r="B8" s="17" t="s">
        <v>11</v>
      </c>
      <c r="C8" s="18" t="s">
        <v>38</v>
      </c>
      <c r="G8" s="79"/>
    </row>
    <row r="9" spans="2:7" ht="30" x14ac:dyDescent="0.25">
      <c r="B9" s="8" t="s">
        <v>9</v>
      </c>
      <c r="C9" s="5" t="s">
        <v>37</v>
      </c>
    </row>
    <row r="10" spans="2:7" ht="30.75" thickBot="1" x14ac:dyDescent="0.3">
      <c r="B10" s="8" t="s">
        <v>25</v>
      </c>
      <c r="C10" s="5" t="s">
        <v>36</v>
      </c>
    </row>
    <row r="11" spans="2:7" ht="45" customHeight="1" thickBot="1" x14ac:dyDescent="0.3">
      <c r="B11" s="19" t="s">
        <v>28</v>
      </c>
      <c r="C11" s="20" t="s">
        <v>35</v>
      </c>
      <c r="G11" s="92" t="s">
        <v>51</v>
      </c>
    </row>
  </sheetData>
  <sheetProtection algorithmName="SHA-512" hashValue="qwadKtKlxO3OfSrjR5ftzDZJeFo8oIijtkrQiWKoGXdMlxaK1DzLJ0XAUVzCvoknxrj4RmK6xQdvbI6NyhtLkw==" saltValue="F/NsRB1V2lEEiU7nbv+LyA==" spinCount="100000" sheet="1" objects="1" scenarios="1"/>
  <mergeCells count="2">
    <mergeCell ref="G3:G5"/>
    <mergeCell ref="G6:G8"/>
  </mergeCells>
  <hyperlinks>
    <hyperlink ref="G11" r:id="rId1" xr:uid="{07AECBF7-BA53-442D-B98C-CA25A949AB6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B422E-8DA2-4A70-92A4-C8A93F5D498C}">
  <dimension ref="A1:CG102"/>
  <sheetViews>
    <sheetView workbookViewId="0"/>
  </sheetViews>
  <sheetFormatPr defaultRowHeight="15" x14ac:dyDescent="0.25"/>
  <cols>
    <col min="1" max="1" width="10.42578125" bestFit="1" customWidth="1"/>
    <col min="2" max="10" width="12.7109375" customWidth="1"/>
    <col min="11" max="11" width="14.28515625" bestFit="1" customWidth="1"/>
    <col min="12" max="12" width="61" customWidth="1"/>
    <col min="14" max="14" width="11.28515625" bestFit="1" customWidth="1"/>
    <col min="15" max="15" width="9.5703125" bestFit="1" customWidth="1"/>
  </cols>
  <sheetData>
    <row r="1" spans="1:85"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row>
    <row r="2" spans="1:85"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row>
    <row r="3" spans="1:85" x14ac:dyDescent="0.25">
      <c r="A3" s="2"/>
      <c r="B3" s="16" t="s">
        <v>8</v>
      </c>
      <c r="C3" s="16" t="s">
        <v>2</v>
      </c>
      <c r="D3" s="16" t="s">
        <v>3</v>
      </c>
      <c r="E3" s="16" t="s">
        <v>4</v>
      </c>
      <c r="F3" s="2"/>
      <c r="G3" s="2"/>
      <c r="H3" s="2"/>
      <c r="I3" s="7" t="s">
        <v>26</v>
      </c>
      <c r="J3" s="7" t="s">
        <v>41</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row>
    <row r="4" spans="1:85" ht="15.75" thickBot="1" x14ac:dyDescent="0.3">
      <c r="A4" s="2"/>
      <c r="B4" s="15" t="s">
        <v>0</v>
      </c>
      <c r="C4" s="15" t="s">
        <v>0</v>
      </c>
      <c r="D4" s="15" t="s">
        <v>0</v>
      </c>
      <c r="E4" s="15" t="s">
        <v>0</v>
      </c>
      <c r="F4" s="15" t="s">
        <v>11</v>
      </c>
      <c r="G4" s="15" t="s">
        <v>9</v>
      </c>
      <c r="H4" s="15" t="s">
        <v>25</v>
      </c>
      <c r="I4" s="15" t="s">
        <v>27</v>
      </c>
      <c r="J4" s="15" t="s">
        <v>42</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row>
    <row r="5" spans="1:85" x14ac:dyDescent="0.25">
      <c r="A5" s="93">
        <v>43830</v>
      </c>
      <c r="B5" s="94"/>
      <c r="C5" s="95"/>
      <c r="D5" s="96"/>
      <c r="E5" s="101">
        <v>1000000</v>
      </c>
      <c r="F5" s="102"/>
      <c r="G5" s="103"/>
      <c r="H5" s="102">
        <v>0.8</v>
      </c>
      <c r="I5" s="56">
        <f>IFERROR(E5*H5,"")</f>
        <v>800000</v>
      </c>
      <c r="J5" s="109">
        <v>100000</v>
      </c>
      <c r="K5" s="2"/>
      <c r="L5" s="86" t="s">
        <v>45</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row>
    <row r="6" spans="1:85" x14ac:dyDescent="0.25">
      <c r="A6" s="6">
        <f>EOMONTH(A5,1)</f>
        <v>43861</v>
      </c>
      <c r="B6" s="97">
        <v>15000</v>
      </c>
      <c r="C6" s="98">
        <v>-12000</v>
      </c>
      <c r="D6" s="98">
        <v>-1000</v>
      </c>
      <c r="E6" s="57">
        <f t="shared" ref="E6:E9" si="0">IF(B6="","",E5+SUM(B6:D6))</f>
        <v>1002000</v>
      </c>
      <c r="F6" s="104">
        <v>0.875</v>
      </c>
      <c r="G6" s="105">
        <v>0.12</v>
      </c>
      <c r="H6" s="104">
        <v>0.80100000000000005</v>
      </c>
      <c r="I6" s="57">
        <f t="shared" ref="I6:I17" si="1">IFERROR(E6*H6,"")</f>
        <v>802602</v>
      </c>
      <c r="J6" s="59"/>
      <c r="K6" s="60"/>
      <c r="L6" s="87"/>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row>
    <row r="7" spans="1:85" ht="15.75" thickBot="1" x14ac:dyDescent="0.3">
      <c r="A7" s="6">
        <f>EOMONTH(A6,1)</f>
        <v>43890</v>
      </c>
      <c r="B7" s="97">
        <v>14000</v>
      </c>
      <c r="C7" s="98">
        <v>-10500</v>
      </c>
      <c r="D7" s="98">
        <v>-1000</v>
      </c>
      <c r="E7" s="57">
        <f t="shared" si="0"/>
        <v>1004500</v>
      </c>
      <c r="F7" s="104">
        <v>0.87</v>
      </c>
      <c r="G7" s="106">
        <v>0.121</v>
      </c>
      <c r="H7" s="104">
        <v>0.8</v>
      </c>
      <c r="I7" s="57">
        <f t="shared" si="1"/>
        <v>803600</v>
      </c>
      <c r="J7" s="59"/>
      <c r="K7" s="60"/>
      <c r="L7" s="88"/>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row>
    <row r="8" spans="1:85" ht="15" customHeight="1" x14ac:dyDescent="0.25">
      <c r="A8" s="6">
        <f t="shared" ref="A8:A17" si="2">EOMONTH(A7,1)</f>
        <v>43921</v>
      </c>
      <c r="B8" s="97">
        <v>15200</v>
      </c>
      <c r="C8" s="98">
        <v>-11500</v>
      </c>
      <c r="D8" s="98">
        <v>-1100</v>
      </c>
      <c r="E8" s="57">
        <f t="shared" si="0"/>
        <v>1007100</v>
      </c>
      <c r="F8" s="104">
        <v>0.86799999999999999</v>
      </c>
      <c r="G8" s="106">
        <v>0.122</v>
      </c>
      <c r="H8" s="104">
        <v>0.79900000000000004</v>
      </c>
      <c r="I8" s="57">
        <f t="shared" si="1"/>
        <v>804672.9</v>
      </c>
      <c r="J8" s="59"/>
      <c r="K8" s="60"/>
      <c r="L8" s="80" t="s">
        <v>44</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row>
    <row r="9" spans="1:85" x14ac:dyDescent="0.25">
      <c r="A9" s="6">
        <f t="shared" si="2"/>
        <v>43951</v>
      </c>
      <c r="B9" s="97">
        <v>14800</v>
      </c>
      <c r="C9" s="98">
        <v>-10700</v>
      </c>
      <c r="D9" s="98">
        <v>-1050</v>
      </c>
      <c r="E9" s="57">
        <f t="shared" si="0"/>
        <v>1010150</v>
      </c>
      <c r="F9" s="104">
        <v>0.878</v>
      </c>
      <c r="G9" s="106">
        <v>0.121</v>
      </c>
      <c r="H9" s="104">
        <v>0.80200000000000005</v>
      </c>
      <c r="I9" s="57">
        <f t="shared" si="1"/>
        <v>810140.3</v>
      </c>
      <c r="J9" s="59"/>
      <c r="K9" s="60"/>
      <c r="L9" s="81"/>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row>
    <row r="10" spans="1:85" ht="15.75" thickBot="1" x14ac:dyDescent="0.3">
      <c r="A10" s="6">
        <f t="shared" si="2"/>
        <v>43982</v>
      </c>
      <c r="B10" s="97"/>
      <c r="C10" s="98"/>
      <c r="D10" s="98"/>
      <c r="E10" s="57" t="str">
        <f>IF(B10="","",E9+SUM(B10:D10))</f>
        <v/>
      </c>
      <c r="F10" s="104"/>
      <c r="G10" s="106"/>
      <c r="H10" s="104"/>
      <c r="I10" s="57" t="str">
        <f t="shared" si="1"/>
        <v/>
      </c>
      <c r="J10" s="59"/>
      <c r="K10" s="60"/>
      <c r="L10" s="8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row>
    <row r="11" spans="1:85" x14ac:dyDescent="0.25">
      <c r="A11" s="6">
        <f t="shared" si="2"/>
        <v>44012</v>
      </c>
      <c r="B11" s="97"/>
      <c r="C11" s="98"/>
      <c r="D11" s="98"/>
      <c r="E11" s="57" t="str">
        <f t="shared" ref="E11:E17" si="3">IF(B11="","",E10+SUM(B11:D11))</f>
        <v/>
      </c>
      <c r="F11" s="104"/>
      <c r="G11" s="106"/>
      <c r="H11" s="104"/>
      <c r="I11" s="57" t="str">
        <f t="shared" si="1"/>
        <v/>
      </c>
      <c r="J11" s="59"/>
      <c r="K11" s="60"/>
      <c r="L11" s="83" t="s">
        <v>43</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row>
    <row r="12" spans="1:85" x14ac:dyDescent="0.25">
      <c r="A12" s="6">
        <f t="shared" si="2"/>
        <v>44043</v>
      </c>
      <c r="B12" s="97"/>
      <c r="C12" s="98"/>
      <c r="D12" s="98"/>
      <c r="E12" s="57" t="str">
        <f t="shared" si="3"/>
        <v/>
      </c>
      <c r="F12" s="104"/>
      <c r="G12" s="106"/>
      <c r="H12" s="104"/>
      <c r="I12" s="57" t="str">
        <f t="shared" si="1"/>
        <v/>
      </c>
      <c r="J12" s="59"/>
      <c r="K12" s="60"/>
      <c r="L12" s="84"/>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row>
    <row r="13" spans="1:85" ht="15.75" thickBot="1" x14ac:dyDescent="0.3">
      <c r="A13" s="6">
        <f t="shared" si="2"/>
        <v>44074</v>
      </c>
      <c r="B13" s="97"/>
      <c r="C13" s="98"/>
      <c r="D13" s="98"/>
      <c r="E13" s="57" t="str">
        <f t="shared" si="3"/>
        <v/>
      </c>
      <c r="F13" s="104"/>
      <c r="G13" s="106"/>
      <c r="H13" s="104"/>
      <c r="I13" s="57" t="str">
        <f t="shared" si="1"/>
        <v/>
      </c>
      <c r="J13" s="59"/>
      <c r="K13" s="60"/>
      <c r="L13" s="85"/>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row>
    <row r="14" spans="1:85" x14ac:dyDescent="0.25">
      <c r="A14" s="6">
        <f t="shared" si="2"/>
        <v>44104</v>
      </c>
      <c r="B14" s="97"/>
      <c r="C14" s="98"/>
      <c r="D14" s="98"/>
      <c r="E14" s="57" t="str">
        <f t="shared" si="3"/>
        <v/>
      </c>
      <c r="F14" s="104"/>
      <c r="G14" s="106"/>
      <c r="H14" s="104"/>
      <c r="I14" s="57" t="str">
        <f t="shared" si="1"/>
        <v/>
      </c>
      <c r="J14" s="59"/>
      <c r="K14" s="60"/>
      <c r="L14" s="89" t="s">
        <v>46</v>
      </c>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row>
    <row r="15" spans="1:85" x14ac:dyDescent="0.25">
      <c r="A15" s="6">
        <f t="shared" si="2"/>
        <v>44135</v>
      </c>
      <c r="B15" s="97"/>
      <c r="C15" s="98"/>
      <c r="D15" s="98"/>
      <c r="E15" s="57" t="str">
        <f t="shared" si="3"/>
        <v/>
      </c>
      <c r="F15" s="104"/>
      <c r="G15" s="106"/>
      <c r="H15" s="104"/>
      <c r="I15" s="57" t="str">
        <f t="shared" si="1"/>
        <v/>
      </c>
      <c r="J15" s="59"/>
      <c r="K15" s="60"/>
      <c r="L15" s="90"/>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row>
    <row r="16" spans="1:85" ht="15.75" thickBot="1" x14ac:dyDescent="0.3">
      <c r="A16" s="6">
        <f t="shared" si="2"/>
        <v>44165</v>
      </c>
      <c r="B16" s="97"/>
      <c r="C16" s="98"/>
      <c r="D16" s="98"/>
      <c r="E16" s="57" t="str">
        <f t="shared" si="3"/>
        <v/>
      </c>
      <c r="F16" s="104"/>
      <c r="G16" s="106"/>
      <c r="H16" s="104"/>
      <c r="I16" s="57" t="str">
        <f t="shared" si="1"/>
        <v/>
      </c>
      <c r="J16" s="59"/>
      <c r="K16" s="60"/>
      <c r="L16" s="91"/>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row>
    <row r="17" spans="1:81" x14ac:dyDescent="0.25">
      <c r="A17" s="6">
        <f t="shared" si="2"/>
        <v>44196</v>
      </c>
      <c r="B17" s="99"/>
      <c r="C17" s="100"/>
      <c r="D17" s="100"/>
      <c r="E17" s="58" t="str">
        <f t="shared" si="3"/>
        <v/>
      </c>
      <c r="F17" s="107"/>
      <c r="G17" s="108"/>
      <c r="H17" s="107"/>
      <c r="I17" s="58" t="str">
        <f t="shared" si="1"/>
        <v/>
      </c>
      <c r="J17" s="59"/>
      <c r="K17" s="60"/>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row>
    <row r="18" spans="1:81" x14ac:dyDescent="0.25">
      <c r="A18" s="2"/>
      <c r="B18" s="2"/>
      <c r="C18" s="2"/>
      <c r="D18" s="2"/>
      <c r="E18" s="2"/>
      <c r="F18" s="2"/>
      <c r="G18" s="2"/>
      <c r="H18" s="2"/>
      <c r="I18" s="2"/>
      <c r="J18" s="60"/>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row>
    <row r="19" spans="1:8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row>
    <row r="20" spans="1:8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row>
    <row r="21" spans="1:8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row>
    <row r="22" spans="1:8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row>
    <row r="23" spans="1:8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row>
    <row r="24" spans="1:8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row>
    <row r="25" spans="1:8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row>
    <row r="26" spans="1:8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row>
    <row r="27" spans="1:8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row>
    <row r="28" spans="1:8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row>
    <row r="29" spans="1:8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row>
    <row r="30" spans="1:8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row>
    <row r="31" spans="1:8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row>
    <row r="32" spans="1:8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row>
    <row r="33" spans="1:60"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row>
    <row r="34" spans="1:60"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row>
    <row r="35" spans="1:60"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row>
    <row r="36" spans="1:60"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row>
    <row r="37" spans="1:60"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row>
    <row r="38" spans="1:6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row>
    <row r="39" spans="1:6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row>
    <row r="40" spans="1:60"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row>
    <row r="41" spans="1:60"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row>
    <row r="42" spans="1:6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row>
    <row r="43" spans="1:60"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row>
    <row r="44" spans="1:60"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row>
    <row r="45" spans="1:60"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row>
    <row r="46" spans="1:60"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row>
    <row r="47" spans="1:60"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row>
    <row r="48" spans="1:60"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row>
    <row r="49" spans="1:60"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row>
    <row r="50" spans="1:60"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row>
    <row r="51" spans="1:60"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row>
    <row r="52" spans="1:60"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row>
    <row r="53" spans="1:60"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row>
    <row r="54" spans="1:60"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row>
    <row r="55" spans="1:60"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row>
    <row r="56" spans="1:60"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row>
    <row r="57" spans="1:60"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row>
    <row r="58" spans="1:60"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row>
    <row r="59" spans="1:60"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row>
    <row r="60" spans="1:60"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row>
    <row r="61" spans="1:60"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row>
    <row r="62" spans="1:60"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row>
    <row r="63" spans="1:60"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row>
    <row r="64" spans="1:60"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row>
    <row r="65" spans="1:60"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row>
    <row r="66" spans="1:60"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row>
    <row r="67" spans="1:60"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row>
    <row r="68" spans="1:60"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row>
    <row r="69" spans="1:60"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row>
    <row r="70" spans="1:60"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row>
    <row r="71" spans="1:60"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row>
    <row r="72" spans="1:60"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row>
    <row r="73" spans="1:60"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60"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60"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row>
    <row r="76" spans="1:60"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row>
    <row r="77" spans="1:60"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row>
    <row r="78" spans="1:60"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row>
    <row r="79" spans="1:60"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row>
    <row r="80" spans="1:60"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row>
    <row r="81" spans="1:60"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row>
    <row r="82" spans="1:60"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row>
    <row r="83" spans="1:60"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row>
    <row r="84" spans="1:60"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row>
    <row r="85" spans="1:60"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row>
    <row r="86" spans="1:60"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row>
    <row r="87" spans="1:60"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row>
    <row r="88" spans="1:60"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row>
    <row r="89" spans="1:60"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row>
    <row r="90" spans="1:60"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row>
    <row r="91" spans="1:60" x14ac:dyDescent="0.2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row>
    <row r="92" spans="1:60" x14ac:dyDescent="0.2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row>
    <row r="93" spans="1:60" x14ac:dyDescent="0.2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row>
    <row r="94" spans="1:60" x14ac:dyDescent="0.2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row>
    <row r="95" spans="1:60" x14ac:dyDescent="0.2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row>
    <row r="96" spans="1:60" x14ac:dyDescent="0.2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row>
    <row r="97" spans="2:60" x14ac:dyDescent="0.2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row>
    <row r="98" spans="2:60" x14ac:dyDescent="0.2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row>
    <row r="99" spans="2:60" x14ac:dyDescent="0.2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row>
    <row r="100" spans="2:60" x14ac:dyDescent="0.25">
      <c r="L100" s="2"/>
    </row>
    <row r="101" spans="2:60" x14ac:dyDescent="0.25">
      <c r="L101" s="2"/>
    </row>
    <row r="102" spans="2:60" x14ac:dyDescent="0.25">
      <c r="L102" s="2"/>
    </row>
  </sheetData>
  <sheetProtection algorithmName="SHA-512" hashValue="AL2bTRe2+vLcmUIsXomX+L0XaWDbpQOOyHT3U1jsO0RT6FW+yHznnURtvhuxAaeHSZvzeM4XC9VYtC/o3oNmMg==" saltValue="aV4BujEN66NSNk1EfwaXsA==" spinCount="100000" sheet="1" objects="1" scenarios="1"/>
  <mergeCells count="4">
    <mergeCell ref="L8:L10"/>
    <mergeCell ref="L11:L13"/>
    <mergeCell ref="L5:L7"/>
    <mergeCell ref="L14:L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2E7EA-B564-49BE-992F-11772D0DBA1F}">
  <dimension ref="A1:AT75"/>
  <sheetViews>
    <sheetView workbookViewId="0"/>
  </sheetViews>
  <sheetFormatPr defaultRowHeight="15" x14ac:dyDescent="0.25"/>
  <cols>
    <col min="1" max="1" width="10.7109375" bestFit="1" customWidth="1"/>
    <col min="2" max="5" width="18.5703125" customWidth="1"/>
    <col min="6" max="6" width="14.28515625" bestFit="1" customWidth="1"/>
    <col min="9" max="9" width="11.28515625" bestFit="1" customWidth="1"/>
    <col min="10" max="10" width="9.5703125" bestFit="1" customWidth="1"/>
  </cols>
  <sheetData>
    <row r="1" spans="1:46"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6" x14ac:dyDescent="0.25">
      <c r="A3" s="2"/>
      <c r="B3" s="7" t="s">
        <v>20</v>
      </c>
      <c r="C3" s="7" t="s">
        <v>20</v>
      </c>
      <c r="D3" s="7" t="s">
        <v>18</v>
      </c>
      <c r="E3" s="7" t="s">
        <v>23</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6" x14ac:dyDescent="0.25">
      <c r="A4" s="2"/>
      <c r="B4" s="15" t="s">
        <v>21</v>
      </c>
      <c r="C4" s="15" t="s">
        <v>22</v>
      </c>
      <c r="D4" s="15" t="s">
        <v>19</v>
      </c>
      <c r="E4" s="15" t="s">
        <v>24</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25">
      <c r="A5" s="6">
        <f>Inputs!$A$5</f>
        <v>43830</v>
      </c>
      <c r="B5" s="48"/>
      <c r="C5" s="49"/>
      <c r="D5" s="61">
        <f>SUMIFS(Details!$H:$H,Details!$A:$A,$A5,Details!$B:$B,"Opening Balance")</f>
        <v>100000</v>
      </c>
      <c r="E5" s="62">
        <f>SUMIFS(Details!$F:$F,Details!$A:$A,$A5,Details!$B:$B,"Opening Balance")</f>
        <v>0.125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x14ac:dyDescent="0.25">
      <c r="A6" s="6">
        <f>EOMONTH(A5,1)</f>
        <v>43861</v>
      </c>
      <c r="B6" s="50">
        <f>IF(Inputs!B6="","",SUMIFS(Details!$H:$H,Details!$A:$A,$A6,Details!$B:$B,"Issued"))</f>
        <v>1575</v>
      </c>
      <c r="C6" s="44">
        <f>IF(Inputs!C6="","",-SUMIFS(Details!$H:$H,Details!$A:$A,$A6,Details!$B:$B,"Redeemed"))</f>
        <v>1500</v>
      </c>
      <c r="D6" s="51">
        <f>IF(Inputs!E6="","",SUMIFS(Details!$H:$H,Details!$A:$A,$A6,Details!$B:$B,"Final Balance"))</f>
        <v>100075</v>
      </c>
      <c r="E6" s="52">
        <f>IF(D6="","",SUMIFS(Details!$F:$F,Details!$A:$A,$A6,Details!$B:$B,"Final Balance"))</f>
        <v>0.12468820162421723</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46" x14ac:dyDescent="0.25">
      <c r="A7" s="6">
        <f>EOMONTH(A6,1)</f>
        <v>43890</v>
      </c>
      <c r="B7" s="42">
        <f>IF(Inputs!B7="","",SUMIFS(Details!$H:$H,Details!$A:$A,$A7,Details!$B:$B,"Issued"))</f>
        <v>1473.78</v>
      </c>
      <c r="C7" s="51">
        <f>IF(Inputs!C7="","",-SUMIFS(Details!$H:$H,Details!$A:$A,$A7,Details!$B:$B,"Redeemed"))</f>
        <v>1309.2261170542808</v>
      </c>
      <c r="D7" s="51">
        <f>IF(Inputs!E7="","",SUMIFS(Details!$H:$H,Details!$A:$A,$A7,Details!$B:$B,"Final Balance"))</f>
        <v>100239.55388294572</v>
      </c>
      <c r="E7" s="52">
        <f>IF(D7="","",SUMIFS(Details!$F:$F,Details!$A:$A,$A7,Details!$B:$B,"Final Balance"))</f>
        <v>0.12473812081003699</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row>
    <row r="8" spans="1:46" x14ac:dyDescent="0.25">
      <c r="A8" s="6">
        <f t="shared" ref="A8:A17" si="0">EOMONTH(A7,1)</f>
        <v>43921</v>
      </c>
      <c r="B8" s="42">
        <f>IF(Inputs!B8="","",SUMIFS(Details!$H:$H,Details!$A:$A,$A8,Details!$B:$B,"Issued"))</f>
        <v>1609.6192000000001</v>
      </c>
      <c r="C8" s="51">
        <f>IF(Inputs!C8="","",-SUMIFS(Details!$H:$H,Details!$A:$A,$A8,Details!$B:$B,"Redeemed"))</f>
        <v>1433.9143186784981</v>
      </c>
      <c r="D8" s="51">
        <f>IF(Inputs!E8="","",SUMIFS(Details!$H:$H,Details!$A:$A,$A8,Details!$B:$B,"Final Balance"))</f>
        <v>100415.25876426723</v>
      </c>
      <c r="E8" s="52">
        <f>IF(D8="","",SUMIFS(Details!$F:$F,Details!$A:$A,$A8,Details!$B:$B,"Final Balance"))</f>
        <v>0.12479015854052898</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row>
    <row r="9" spans="1:46" x14ac:dyDescent="0.25">
      <c r="A9" s="6">
        <f t="shared" si="0"/>
        <v>43951</v>
      </c>
      <c r="B9" s="42">
        <f>IF(Inputs!B9="","",SUMIFS(Details!$H:$H,Details!$A:$A,$A9,Details!$B:$B,"Issued"))</f>
        <v>1572.3224</v>
      </c>
      <c r="C9" s="51">
        <f>IF(Inputs!C9="","",-SUMIFS(Details!$H:$H,Details!$A:$A,$A9,Details!$B:$B,"Redeemed"))</f>
        <v>1334.1637573791245</v>
      </c>
      <c r="D9" s="51">
        <f>IF(Inputs!E9="","",SUMIFS(Details!$H:$H,Details!$A:$A,$A9,Details!$B:$B,"Final Balance"))</f>
        <v>100653.41740688811</v>
      </c>
      <c r="E9" s="52">
        <f>IF(D9="","",SUMIFS(Details!$F:$F,Details!$A:$A,$A9,Details!$B:$B,"Final Balance"))</f>
        <v>0.1242419583458422</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row>
    <row r="10" spans="1:46" x14ac:dyDescent="0.25">
      <c r="A10" s="6">
        <f t="shared" si="0"/>
        <v>43982</v>
      </c>
      <c r="B10" s="42" t="str">
        <f>IF(Inputs!B10="","",SUMIFS(Details!$H:$H,Details!$A:$A,$A10,Details!$B:$B,"Issued"))</f>
        <v/>
      </c>
      <c r="C10" s="51" t="str">
        <f>IF(Inputs!C10="","",-SUMIFS(Details!$H:$H,Details!$A:$A,$A10,Details!$B:$B,"Redeemed"))</f>
        <v/>
      </c>
      <c r="D10" s="51" t="str">
        <f>IF(Inputs!E10="","",SUMIFS(Details!$H:$H,Details!$A:$A,$A10,Details!$B:$B,"Final Balance"))</f>
        <v/>
      </c>
      <c r="E10" s="52" t="str">
        <f>IF(D10="","",SUMIFS(Details!$F:$F,Details!$A:$A,$A10,Details!$B:$B,"Final Balance"))</f>
        <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row>
    <row r="11" spans="1:46" x14ac:dyDescent="0.25">
      <c r="A11" s="6">
        <f t="shared" si="0"/>
        <v>44012</v>
      </c>
      <c r="B11" s="42" t="str">
        <f>IF(Inputs!B11="","",SUMIFS(Details!$H:$H,Details!$A:$A,$A11,Details!$B:$B,"Issued"))</f>
        <v/>
      </c>
      <c r="C11" s="51" t="str">
        <f>IF(Inputs!C11="","",-SUMIFS(Details!$H:$H,Details!$A:$A,$A11,Details!$B:$B,"Redeemed"))</f>
        <v/>
      </c>
      <c r="D11" s="51" t="str">
        <f>IF(Inputs!E11="","",SUMIFS(Details!$H:$H,Details!$A:$A,$A11,Details!$B:$B,"Final Balance"))</f>
        <v/>
      </c>
      <c r="E11" s="52" t="str">
        <f>IF(D11="","",SUMIFS(Details!$F:$F,Details!$A:$A,$A11,Details!$B:$B,"Final Balance"))</f>
        <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row>
    <row r="12" spans="1:46" x14ac:dyDescent="0.25">
      <c r="A12" s="6">
        <f t="shared" si="0"/>
        <v>44043</v>
      </c>
      <c r="B12" s="42" t="str">
        <f>IF(Inputs!B12="","",SUMIFS(Details!$H:$H,Details!$A:$A,$A12,Details!$B:$B,"Issued"))</f>
        <v/>
      </c>
      <c r="C12" s="51" t="str">
        <f>IF(Inputs!C12="","",-SUMIFS(Details!$H:$H,Details!$A:$A,$A12,Details!$B:$B,"Redeemed"))</f>
        <v/>
      </c>
      <c r="D12" s="51" t="str">
        <f>IF(Inputs!E12="","",SUMIFS(Details!$H:$H,Details!$A:$A,$A12,Details!$B:$B,"Final Balance"))</f>
        <v/>
      </c>
      <c r="E12" s="52" t="str">
        <f>IF(D12="","",SUMIFS(Details!$F:$F,Details!$A:$A,$A12,Details!$B:$B,"Final Balance"))</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row>
    <row r="13" spans="1:46" x14ac:dyDescent="0.25">
      <c r="A13" s="6">
        <f t="shared" si="0"/>
        <v>44074</v>
      </c>
      <c r="B13" s="42" t="str">
        <f>IF(Inputs!B13="","",SUMIFS(Details!$H:$H,Details!$A:$A,$A13,Details!$B:$B,"Issued"))</f>
        <v/>
      </c>
      <c r="C13" s="51" t="str">
        <f>IF(Inputs!C13="","",-SUMIFS(Details!$H:$H,Details!$A:$A,$A13,Details!$B:$B,"Redeemed"))</f>
        <v/>
      </c>
      <c r="D13" s="51" t="str">
        <f>IF(Inputs!E13="","",SUMIFS(Details!$H:$H,Details!$A:$A,$A13,Details!$B:$B,"Final Balance"))</f>
        <v/>
      </c>
      <c r="E13" s="52" t="str">
        <f>IF(D13="","",SUMIFS(Details!$F:$F,Details!$A:$A,$A13,Details!$B:$B,"Final Balance"))</f>
        <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row>
    <row r="14" spans="1:46" x14ac:dyDescent="0.25">
      <c r="A14" s="6">
        <f t="shared" si="0"/>
        <v>44104</v>
      </c>
      <c r="B14" s="42" t="str">
        <f>IF(Inputs!B14="","",SUMIFS(Details!$H:$H,Details!$A:$A,$A14,Details!$B:$B,"Issued"))</f>
        <v/>
      </c>
      <c r="C14" s="51" t="str">
        <f>IF(Inputs!C14="","",-SUMIFS(Details!$H:$H,Details!$A:$A,$A14,Details!$B:$B,"Redeemed"))</f>
        <v/>
      </c>
      <c r="D14" s="51" t="str">
        <f>IF(Inputs!E14="","",SUMIFS(Details!$H:$H,Details!$A:$A,$A14,Details!$B:$B,"Final Balance"))</f>
        <v/>
      </c>
      <c r="E14" s="52" t="str">
        <f>IF(D14="","",SUMIFS(Details!$F:$F,Details!$A:$A,$A14,Details!$B:$B,"Final Balance"))</f>
        <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row>
    <row r="15" spans="1:46" x14ac:dyDescent="0.25">
      <c r="A15" s="6">
        <f t="shared" si="0"/>
        <v>44135</v>
      </c>
      <c r="B15" s="42" t="str">
        <f>IF(Inputs!B15="","",SUMIFS(Details!$H:$H,Details!$A:$A,$A15,Details!$B:$B,"Issued"))</f>
        <v/>
      </c>
      <c r="C15" s="51" t="str">
        <f>IF(Inputs!C15="","",-SUMIFS(Details!$H:$H,Details!$A:$A,$A15,Details!$B:$B,"Redeemed"))</f>
        <v/>
      </c>
      <c r="D15" s="51" t="str">
        <f>IF(Inputs!E15="","",SUMIFS(Details!$H:$H,Details!$A:$A,$A15,Details!$B:$B,"Final Balance"))</f>
        <v/>
      </c>
      <c r="E15" s="52" t="str">
        <f>IF(D15="","",SUMIFS(Details!$F:$F,Details!$A:$A,$A15,Details!$B:$B,"Final Balance"))</f>
        <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46" x14ac:dyDescent="0.25">
      <c r="A16" s="6">
        <f t="shared" si="0"/>
        <v>44165</v>
      </c>
      <c r="B16" s="42" t="str">
        <f>IF(Inputs!B16="","",SUMIFS(Details!$H:$H,Details!$A:$A,$A16,Details!$B:$B,"Issued"))</f>
        <v/>
      </c>
      <c r="C16" s="51" t="str">
        <f>IF(Inputs!C16="","",-SUMIFS(Details!$H:$H,Details!$A:$A,$A16,Details!$B:$B,"Redeemed"))</f>
        <v/>
      </c>
      <c r="D16" s="51" t="str">
        <f>IF(Inputs!E16="","",SUMIFS(Details!$H:$H,Details!$A:$A,$A16,Details!$B:$B,"Final Balance"))</f>
        <v/>
      </c>
      <c r="E16" s="52" t="str">
        <f>IF(D16="","",SUMIFS(Details!$F:$F,Details!$A:$A,$A16,Details!$B:$B,"Final Balance"))</f>
        <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row>
    <row r="17" spans="1:46" x14ac:dyDescent="0.25">
      <c r="A17" s="6">
        <f t="shared" si="0"/>
        <v>44196</v>
      </c>
      <c r="B17" s="53" t="str">
        <f>IF(Inputs!B17="","",SUMIFS(Details!$H:$H,Details!$A:$A,$A17,Details!$B:$B,"Issued"))</f>
        <v/>
      </c>
      <c r="C17" s="54" t="str">
        <f>IF(Inputs!C17="","",-SUMIFS(Details!$H:$H,Details!$A:$A,$A17,Details!$B:$B,"Redeemed"))</f>
        <v/>
      </c>
      <c r="D17" s="54" t="str">
        <f>IF(Inputs!E17="","",SUMIFS(Details!$H:$H,Details!$A:$A,$A17,Details!$B:$B,"Final Balance"))</f>
        <v/>
      </c>
      <c r="E17" s="55" t="str">
        <f>IF(D17="","",SUMIFS(Details!$F:$F,Details!$A:$A,$A17,Details!$B:$B,"Final Balance"))</f>
        <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row>
    <row r="18" spans="1:46"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row>
    <row r="20" spans="1:46"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row>
    <row r="21" spans="1:46"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row>
    <row r="22" spans="1:46"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46"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46"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row>
    <row r="25" spans="1:46"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row>
    <row r="26" spans="1:4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row>
    <row r="27" spans="1:4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4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4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row>
    <row r="30" spans="1:4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row>
    <row r="31" spans="1:4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row>
    <row r="32" spans="1:4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row>
    <row r="33" spans="1:4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spans="1:4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4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spans="1:4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row>
    <row r="50" spans="1:4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row r="51" spans="1:4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row>
    <row r="52" spans="1:4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row>
    <row r="53" spans="1:4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row>
    <row r="54" spans="1:4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row>
    <row r="55" spans="1:4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row>
    <row r="56" spans="1:4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row>
    <row r="57" spans="1:4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row>
    <row r="58" spans="1:4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row>
    <row r="59" spans="1:4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row>
    <row r="60" spans="1:4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row>
    <row r="61" spans="1:4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row>
    <row r="62" spans="1:4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row>
    <row r="64" spans="1:4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spans="1:4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spans="1:4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4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4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4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4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4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row>
    <row r="72" spans="1:4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row>
    <row r="73" spans="1:4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row>
    <row r="74" spans="1:4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row>
    <row r="75" spans="1:4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row>
  </sheetData>
  <sheetProtection algorithmName="SHA-512" hashValue="PkXL6zkUPk2U9Uu7CV1t/9hfPOXQB61Omes0aGF418S+2e1w8Bi7Q+DyBncjbqnG+rjQpATMeegqPMC+JKEF/w==" saltValue="D46RaMCyyseiq8RqBOLVs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53E3-441C-4F1F-B374-8E4095ACC9A5}">
  <dimension ref="A1:BB229"/>
  <sheetViews>
    <sheetView zoomScaleNormal="100" workbookViewId="0"/>
  </sheetViews>
  <sheetFormatPr defaultColWidth="9.140625" defaultRowHeight="15" x14ac:dyDescent="0.25"/>
  <cols>
    <col min="1" max="1" width="12.140625" style="2" bestFit="1" customWidth="1"/>
    <col min="2" max="2" width="22.28515625" style="2" bestFit="1" customWidth="1"/>
    <col min="3" max="8" width="16.7109375" style="1" customWidth="1"/>
    <col min="9" max="11" width="9.140625" style="2"/>
    <col min="12" max="12" width="10.140625" style="2" bestFit="1" customWidth="1"/>
    <col min="13" max="54" width="9.140625" style="2"/>
    <col min="55" max="16384" width="9.140625" style="1"/>
  </cols>
  <sheetData>
    <row r="1" spans="1:11" s="2" customFormat="1" x14ac:dyDescent="0.25"/>
    <row r="2" spans="1:11" s="2" customFormat="1" x14ac:dyDescent="0.25">
      <c r="C2" s="15" t="s">
        <v>0</v>
      </c>
      <c r="D2" s="15" t="s">
        <v>1</v>
      </c>
      <c r="E2" s="15" t="s">
        <v>29</v>
      </c>
      <c r="F2" s="15" t="s">
        <v>7</v>
      </c>
      <c r="G2" s="15" t="s">
        <v>9</v>
      </c>
      <c r="H2" s="15" t="s">
        <v>40</v>
      </c>
    </row>
    <row r="3" spans="1:11" x14ac:dyDescent="0.25">
      <c r="C3" s="26"/>
      <c r="D3" s="27"/>
      <c r="E3" s="27"/>
      <c r="F3" s="27"/>
      <c r="G3" s="27"/>
      <c r="H3" s="28"/>
      <c r="K3" s="23"/>
    </row>
    <row r="4" spans="1:11" x14ac:dyDescent="0.25">
      <c r="A4" s="68">
        <f>Inputs!$A$5</f>
        <v>43830</v>
      </c>
      <c r="B4" s="2" t="s">
        <v>5</v>
      </c>
      <c r="C4" s="63">
        <f>VLOOKUP($A4,Inputs!$A:$J,5,FALSE)</f>
        <v>1000000</v>
      </c>
      <c r="D4" s="64">
        <f>VLOOKUP($A4,Inputs!$A:$J,8,FALSE)</f>
        <v>0.8</v>
      </c>
      <c r="E4" s="29">
        <f>C4*D4</f>
        <v>800000</v>
      </c>
      <c r="F4" s="30">
        <f>IFERROR(H4/E4,0)</f>
        <v>0.125</v>
      </c>
      <c r="G4" s="31"/>
      <c r="H4" s="67">
        <f>VLOOKUP($A4,Inputs!$A:$J,10,FALSE)</f>
        <v>100000</v>
      </c>
      <c r="K4" s="24"/>
    </row>
    <row r="5" spans="1:11" x14ac:dyDescent="0.25">
      <c r="A5" s="69"/>
      <c r="C5" s="63"/>
      <c r="D5" s="64"/>
      <c r="E5" s="29"/>
      <c r="F5" s="33"/>
      <c r="G5" s="33"/>
      <c r="H5" s="34"/>
    </row>
    <row r="6" spans="1:11" x14ac:dyDescent="0.25">
      <c r="A6" s="70">
        <f>EOMONTH(A4,1)</f>
        <v>43861</v>
      </c>
      <c r="B6" s="2" t="s">
        <v>8</v>
      </c>
      <c r="C6" s="63">
        <f>VLOOKUP($A6,Inputs!$A:$J,2,FALSE)</f>
        <v>15000</v>
      </c>
      <c r="D6" s="64">
        <f>VLOOKUP($A6,Inputs!$A:$J,6,FALSE)</f>
        <v>0.875</v>
      </c>
      <c r="E6" s="29">
        <f>C6*D6</f>
        <v>13125</v>
      </c>
      <c r="F6" s="33"/>
      <c r="G6" s="66">
        <f>VLOOKUP($A6,Inputs!$A:$J,7,FALSE)</f>
        <v>0.12</v>
      </c>
      <c r="H6" s="34">
        <f>E6*G6</f>
        <v>1575</v>
      </c>
    </row>
    <row r="7" spans="1:11" x14ac:dyDescent="0.25">
      <c r="A7" s="69"/>
      <c r="C7" s="63"/>
      <c r="D7" s="32"/>
      <c r="E7" s="29"/>
      <c r="F7" s="33"/>
      <c r="G7" s="33"/>
      <c r="H7" s="34"/>
    </row>
    <row r="8" spans="1:11" x14ac:dyDescent="0.25">
      <c r="A8" s="70">
        <f>A6</f>
        <v>43861</v>
      </c>
      <c r="B8" s="2" t="s">
        <v>2</v>
      </c>
      <c r="C8" s="63">
        <f>VLOOKUP($A8,Inputs!$A:$J,3,FALSE)</f>
        <v>-12000</v>
      </c>
      <c r="D8" s="32">
        <v>1</v>
      </c>
      <c r="E8" s="29">
        <f>C8*D8</f>
        <v>-12000</v>
      </c>
      <c r="F8" s="31">
        <f>F$4</f>
        <v>0.125</v>
      </c>
      <c r="G8" s="31"/>
      <c r="H8" s="34">
        <f>E8*F8</f>
        <v>-1500</v>
      </c>
    </row>
    <row r="9" spans="1:11" x14ac:dyDescent="0.25">
      <c r="A9" s="70">
        <f>A8</f>
        <v>43861</v>
      </c>
      <c r="B9" s="2" t="s">
        <v>3</v>
      </c>
      <c r="C9" s="63">
        <f>VLOOKUP($A9,Inputs!$A:$J,4,FALSE)</f>
        <v>-1000</v>
      </c>
      <c r="D9" s="32">
        <v>0</v>
      </c>
      <c r="E9" s="29">
        <f>C9*D9</f>
        <v>0</v>
      </c>
      <c r="F9" s="31">
        <f>F$4</f>
        <v>0.125</v>
      </c>
      <c r="G9" s="31"/>
      <c r="H9" s="34">
        <f>E9*F9</f>
        <v>0</v>
      </c>
    </row>
    <row r="10" spans="1:11" x14ac:dyDescent="0.25">
      <c r="A10" s="69"/>
      <c r="C10" s="36"/>
      <c r="D10" s="32"/>
      <c r="E10" s="29"/>
      <c r="F10" s="33"/>
      <c r="G10" s="33"/>
      <c r="H10" s="34"/>
    </row>
    <row r="11" spans="1:11" x14ac:dyDescent="0.25">
      <c r="A11" s="68">
        <f>A9</f>
        <v>43861</v>
      </c>
      <c r="B11" s="2" t="s">
        <v>4</v>
      </c>
      <c r="C11" s="36">
        <f>SUM(C4:C10)</f>
        <v>1002000</v>
      </c>
      <c r="D11" s="32">
        <f>E11/C11</f>
        <v>0.79952594810379241</v>
      </c>
      <c r="E11" s="29">
        <f>SUM(E4:E10)</f>
        <v>801125</v>
      </c>
      <c r="F11" s="33"/>
      <c r="G11" s="33"/>
      <c r="H11" s="34">
        <f>SUM(H4:H10)</f>
        <v>100075</v>
      </c>
    </row>
    <row r="12" spans="1:11" x14ac:dyDescent="0.25">
      <c r="A12" s="69"/>
      <c r="C12" s="36"/>
      <c r="D12" s="32"/>
      <c r="E12" s="29"/>
      <c r="F12" s="33"/>
      <c r="G12" s="33"/>
      <c r="H12" s="34"/>
    </row>
    <row r="13" spans="1:11" x14ac:dyDescent="0.25">
      <c r="A13" s="69"/>
      <c r="B13" s="2" t="s">
        <v>10</v>
      </c>
      <c r="C13" s="36"/>
      <c r="D13" s="32"/>
      <c r="E13" s="29">
        <f>E15-E11</f>
        <v>1477</v>
      </c>
      <c r="F13" s="33"/>
      <c r="G13" s="33"/>
      <c r="H13" s="34"/>
    </row>
    <row r="14" spans="1:11" x14ac:dyDescent="0.25">
      <c r="A14" s="69"/>
      <c r="C14" s="36"/>
      <c r="D14" s="32"/>
      <c r="E14" s="29"/>
      <c r="F14" s="33"/>
      <c r="G14" s="33"/>
      <c r="H14" s="34"/>
    </row>
    <row r="15" spans="1:11" x14ac:dyDescent="0.25">
      <c r="A15" s="68">
        <f>A11</f>
        <v>43861</v>
      </c>
      <c r="B15" s="2" t="s">
        <v>6</v>
      </c>
      <c r="C15" s="37">
        <f>C11</f>
        <v>1002000</v>
      </c>
      <c r="D15" s="65">
        <f>VLOOKUP($A15,Inputs!$A:$J,8,FALSE)</f>
        <v>0.80100000000000005</v>
      </c>
      <c r="E15" s="38">
        <f>C15*D15</f>
        <v>802602</v>
      </c>
      <c r="F15" s="39">
        <f>IFERROR(H15/E15,0)</f>
        <v>0.12468820162421723</v>
      </c>
      <c r="G15" s="40"/>
      <c r="H15" s="41">
        <f>H11</f>
        <v>100075</v>
      </c>
    </row>
    <row r="16" spans="1:11" s="2" customFormat="1" x14ac:dyDescent="0.25"/>
    <row r="17" spans="1:8" s="2" customFormat="1" x14ac:dyDescent="0.25">
      <c r="C17" s="15" t="s">
        <v>0</v>
      </c>
      <c r="D17" s="15" t="s">
        <v>1</v>
      </c>
      <c r="E17" s="15" t="s">
        <v>29</v>
      </c>
      <c r="F17" s="15" t="s">
        <v>7</v>
      </c>
      <c r="G17" s="15" t="s">
        <v>9</v>
      </c>
      <c r="H17" s="15" t="s">
        <v>40</v>
      </c>
    </row>
    <row r="18" spans="1:8" x14ac:dyDescent="0.25">
      <c r="C18" s="26"/>
      <c r="D18" s="27"/>
      <c r="E18" s="27"/>
      <c r="F18" s="27"/>
      <c r="G18" s="27"/>
      <c r="H18" s="28"/>
    </row>
    <row r="19" spans="1:8" x14ac:dyDescent="0.25">
      <c r="A19" s="68">
        <f>A15</f>
        <v>43861</v>
      </c>
      <c r="B19" s="2" t="s">
        <v>5</v>
      </c>
      <c r="C19" s="42">
        <f>C15</f>
        <v>1002000</v>
      </c>
      <c r="D19" s="43">
        <f>E19/C19</f>
        <v>0.80100000000000005</v>
      </c>
      <c r="E19" s="29">
        <f>E15</f>
        <v>802602</v>
      </c>
      <c r="F19" s="30">
        <f>IFERROR(H19/E19,0)</f>
        <v>0.12468820162421723</v>
      </c>
      <c r="G19" s="44"/>
      <c r="H19" s="45">
        <f>H15</f>
        <v>100075</v>
      </c>
    </row>
    <row r="20" spans="1:8" x14ac:dyDescent="0.25">
      <c r="A20" s="69"/>
      <c r="C20" s="36"/>
      <c r="D20" s="32"/>
      <c r="E20" s="29"/>
      <c r="F20" s="33"/>
      <c r="G20" s="29"/>
      <c r="H20" s="34"/>
    </row>
    <row r="21" spans="1:8" x14ac:dyDescent="0.25">
      <c r="A21" s="70">
        <f>EOMONTH(A19,1)</f>
        <v>43890</v>
      </c>
      <c r="B21" s="2" t="s">
        <v>8</v>
      </c>
      <c r="C21" s="63">
        <f>VLOOKUP($A21,Inputs!$A:$J,2,FALSE)</f>
        <v>14000</v>
      </c>
      <c r="D21" s="64">
        <f>VLOOKUP($A21,Inputs!$A:$J,6,FALSE)</f>
        <v>0.87</v>
      </c>
      <c r="E21" s="29">
        <f>C21*D21</f>
        <v>12180</v>
      </c>
      <c r="F21" s="35"/>
      <c r="G21" s="66">
        <f>VLOOKUP($A21,Inputs!$A:$J,7,FALSE)</f>
        <v>0.121</v>
      </c>
      <c r="H21" s="34">
        <f>E21*G21</f>
        <v>1473.78</v>
      </c>
    </row>
    <row r="22" spans="1:8" x14ac:dyDescent="0.25">
      <c r="A22" s="69"/>
      <c r="C22" s="63"/>
      <c r="D22" s="64"/>
      <c r="E22" s="29"/>
      <c r="F22" s="33"/>
      <c r="G22" s="29"/>
      <c r="H22" s="34"/>
    </row>
    <row r="23" spans="1:8" x14ac:dyDescent="0.25">
      <c r="A23" s="70">
        <f>A21</f>
        <v>43890</v>
      </c>
      <c r="B23" s="2" t="s">
        <v>2</v>
      </c>
      <c r="C23" s="63">
        <f>VLOOKUP($A23,Inputs!$A:$J,3,FALSE)</f>
        <v>-10500</v>
      </c>
      <c r="D23" s="32">
        <v>1</v>
      </c>
      <c r="E23" s="29">
        <f>C23*D23</f>
        <v>-10500</v>
      </c>
      <c r="F23" s="46">
        <f>F$19</f>
        <v>0.12468820162421723</v>
      </c>
      <c r="G23" s="29"/>
      <c r="H23" s="34">
        <f>E23*F23</f>
        <v>-1309.2261170542808</v>
      </c>
    </row>
    <row r="24" spans="1:8" x14ac:dyDescent="0.25">
      <c r="A24" s="70">
        <f>A23</f>
        <v>43890</v>
      </c>
      <c r="B24" s="2" t="s">
        <v>3</v>
      </c>
      <c r="C24" s="63">
        <f>VLOOKUP($A24,Inputs!$A:$J,4,FALSE)</f>
        <v>-1000</v>
      </c>
      <c r="D24" s="32">
        <v>0</v>
      </c>
      <c r="E24" s="29">
        <f>C24*D24</f>
        <v>0</v>
      </c>
      <c r="F24" s="46">
        <f>F$19</f>
        <v>0.12468820162421723</v>
      </c>
      <c r="G24" s="29"/>
      <c r="H24" s="34">
        <f>E24*F24</f>
        <v>0</v>
      </c>
    </row>
    <row r="25" spans="1:8" x14ac:dyDescent="0.25">
      <c r="A25" s="69"/>
      <c r="C25" s="36"/>
      <c r="D25" s="32"/>
      <c r="E25" s="29"/>
      <c r="F25" s="33"/>
      <c r="G25" s="29"/>
      <c r="H25" s="34"/>
    </row>
    <row r="26" spans="1:8" x14ac:dyDescent="0.25">
      <c r="A26" s="68">
        <f>A24</f>
        <v>43890</v>
      </c>
      <c r="B26" s="2" t="s">
        <v>4</v>
      </c>
      <c r="C26" s="36">
        <f>SUM(C19:C25)</f>
        <v>1004500</v>
      </c>
      <c r="D26" s="32">
        <f>E26/C26</f>
        <v>0.80067894474863111</v>
      </c>
      <c r="E26" s="29">
        <f>SUM(E19:E25)</f>
        <v>804282</v>
      </c>
      <c r="F26" s="33"/>
      <c r="G26" s="29"/>
      <c r="H26" s="34">
        <f>SUM(H19:H25)</f>
        <v>100239.55388294572</v>
      </c>
    </row>
    <row r="27" spans="1:8" x14ac:dyDescent="0.25">
      <c r="A27" s="69"/>
      <c r="C27" s="36"/>
      <c r="D27" s="32"/>
      <c r="E27" s="29"/>
      <c r="F27" s="33"/>
      <c r="G27" s="29"/>
      <c r="H27" s="34"/>
    </row>
    <row r="28" spans="1:8" x14ac:dyDescent="0.25">
      <c r="A28" s="69"/>
      <c r="B28" s="2" t="s">
        <v>10</v>
      </c>
      <c r="C28" s="36"/>
      <c r="D28" s="32"/>
      <c r="E28" s="29">
        <f>E30-E26</f>
        <v>-682</v>
      </c>
      <c r="F28" s="33"/>
      <c r="G28" s="29"/>
      <c r="H28" s="34"/>
    </row>
    <row r="29" spans="1:8" x14ac:dyDescent="0.25">
      <c r="A29" s="69"/>
      <c r="C29" s="36"/>
      <c r="D29" s="32"/>
      <c r="E29" s="29"/>
      <c r="F29" s="33"/>
      <c r="G29" s="29"/>
      <c r="H29" s="34"/>
    </row>
    <row r="30" spans="1:8" x14ac:dyDescent="0.25">
      <c r="A30" s="68">
        <f>A26</f>
        <v>43890</v>
      </c>
      <c r="B30" s="2" t="s">
        <v>6</v>
      </c>
      <c r="C30" s="37">
        <f>C26</f>
        <v>1004500</v>
      </c>
      <c r="D30" s="65">
        <f>VLOOKUP($A30,Inputs!$A:$J,8,FALSE)</f>
        <v>0.8</v>
      </c>
      <c r="E30" s="38">
        <f>C30*D30</f>
        <v>803600</v>
      </c>
      <c r="F30" s="39">
        <f>IFERROR(H30/E30,0)</f>
        <v>0.12473812081003699</v>
      </c>
      <c r="G30" s="47"/>
      <c r="H30" s="41">
        <f>H26</f>
        <v>100239.55388294572</v>
      </c>
    </row>
    <row r="31" spans="1:8" s="2" customFormat="1" x14ac:dyDescent="0.25"/>
    <row r="32" spans="1:8" s="2" customFormat="1" x14ac:dyDescent="0.25">
      <c r="C32" s="15" t="s">
        <v>0</v>
      </c>
      <c r="D32" s="15" t="s">
        <v>1</v>
      </c>
      <c r="E32" s="15" t="s">
        <v>29</v>
      </c>
      <c r="F32" s="15" t="s">
        <v>7</v>
      </c>
      <c r="G32" s="15" t="s">
        <v>9</v>
      </c>
      <c r="H32" s="15" t="s">
        <v>40</v>
      </c>
    </row>
    <row r="33" spans="1:8" x14ac:dyDescent="0.25">
      <c r="C33" s="26"/>
      <c r="D33" s="27"/>
      <c r="E33" s="27"/>
      <c r="F33" s="27"/>
      <c r="G33" s="27"/>
      <c r="H33" s="28"/>
    </row>
    <row r="34" spans="1:8" x14ac:dyDescent="0.25">
      <c r="A34" s="68">
        <f>A30</f>
        <v>43890</v>
      </c>
      <c r="B34" s="2" t="s">
        <v>5</v>
      </c>
      <c r="C34" s="42">
        <f>C30</f>
        <v>1004500</v>
      </c>
      <c r="D34" s="43">
        <f>E34/C34</f>
        <v>0.8</v>
      </c>
      <c r="E34" s="29">
        <f>E30</f>
        <v>803600</v>
      </c>
      <c r="F34" s="30">
        <f>IFERROR(H34/E34,0)</f>
        <v>0.12473812081003699</v>
      </c>
      <c r="G34" s="44"/>
      <c r="H34" s="45">
        <f>H30</f>
        <v>100239.55388294572</v>
      </c>
    </row>
    <row r="35" spans="1:8" x14ac:dyDescent="0.25">
      <c r="A35" s="69"/>
      <c r="C35" s="36"/>
      <c r="D35" s="32"/>
      <c r="E35" s="29"/>
      <c r="F35" s="33"/>
      <c r="G35" s="29"/>
      <c r="H35" s="34"/>
    </row>
    <row r="36" spans="1:8" x14ac:dyDescent="0.25">
      <c r="A36" s="70">
        <f>EOMONTH(A34,1)</f>
        <v>43921</v>
      </c>
      <c r="B36" s="2" t="s">
        <v>8</v>
      </c>
      <c r="C36" s="63">
        <f>VLOOKUP($A36,Inputs!$A:$J,2,FALSE)</f>
        <v>15200</v>
      </c>
      <c r="D36" s="64">
        <f>VLOOKUP($A36,Inputs!$A:$J,6,FALSE)</f>
        <v>0.86799999999999999</v>
      </c>
      <c r="E36" s="29">
        <f>C36*D36</f>
        <v>13193.6</v>
      </c>
      <c r="F36" s="35"/>
      <c r="G36" s="66">
        <f>VLOOKUP($A36,Inputs!$A:$J,7,FALSE)</f>
        <v>0.122</v>
      </c>
      <c r="H36" s="34">
        <f>E36*G36</f>
        <v>1609.6192000000001</v>
      </c>
    </row>
    <row r="37" spans="1:8" x14ac:dyDescent="0.25">
      <c r="A37" s="69"/>
      <c r="C37" s="63"/>
      <c r="D37" s="64"/>
      <c r="E37" s="29"/>
      <c r="F37" s="33"/>
      <c r="G37" s="29"/>
      <c r="H37" s="34"/>
    </row>
    <row r="38" spans="1:8" x14ac:dyDescent="0.25">
      <c r="A38" s="70">
        <f>A36</f>
        <v>43921</v>
      </c>
      <c r="B38" s="2" t="s">
        <v>2</v>
      </c>
      <c r="C38" s="63">
        <f>VLOOKUP($A38,Inputs!$A:$J,3,FALSE)</f>
        <v>-11500</v>
      </c>
      <c r="D38" s="32">
        <v>1</v>
      </c>
      <c r="E38" s="29">
        <f>C38*D38</f>
        <v>-11500</v>
      </c>
      <c r="F38" s="46">
        <f>F$19</f>
        <v>0.12468820162421723</v>
      </c>
      <c r="G38" s="29"/>
      <c r="H38" s="34">
        <f>E38*F38</f>
        <v>-1433.9143186784981</v>
      </c>
    </row>
    <row r="39" spans="1:8" x14ac:dyDescent="0.25">
      <c r="A39" s="70">
        <f>A38</f>
        <v>43921</v>
      </c>
      <c r="B39" s="2" t="s">
        <v>3</v>
      </c>
      <c r="C39" s="63">
        <f>VLOOKUP($A39,Inputs!$A:$J,4,FALSE)</f>
        <v>-1100</v>
      </c>
      <c r="D39" s="32">
        <v>0</v>
      </c>
      <c r="E39" s="29">
        <f>C39*D39</f>
        <v>0</v>
      </c>
      <c r="F39" s="46">
        <f>F$19</f>
        <v>0.12468820162421723</v>
      </c>
      <c r="G39" s="29"/>
      <c r="H39" s="34">
        <f>E39*F39</f>
        <v>0</v>
      </c>
    </row>
    <row r="40" spans="1:8" x14ac:dyDescent="0.25">
      <c r="A40" s="69"/>
      <c r="C40" s="36"/>
      <c r="D40" s="32"/>
      <c r="E40" s="29"/>
      <c r="F40" s="33"/>
      <c r="G40" s="29"/>
      <c r="H40" s="34"/>
    </row>
    <row r="41" spans="1:8" x14ac:dyDescent="0.25">
      <c r="A41" s="68">
        <f>A39</f>
        <v>43921</v>
      </c>
      <c r="B41" s="2" t="s">
        <v>4</v>
      </c>
      <c r="C41" s="36">
        <f>SUM(C34:C40)</f>
        <v>1007100</v>
      </c>
      <c r="D41" s="32">
        <f>E41/C41</f>
        <v>0.79961632409889782</v>
      </c>
      <c r="E41" s="29">
        <f>SUM(E34:E40)</f>
        <v>805293.6</v>
      </c>
      <c r="F41" s="33"/>
      <c r="G41" s="29"/>
      <c r="H41" s="34">
        <f>SUM(H34:H40)</f>
        <v>100415.25876426723</v>
      </c>
    </row>
    <row r="42" spans="1:8" x14ac:dyDescent="0.25">
      <c r="A42" s="69"/>
      <c r="C42" s="36"/>
      <c r="D42" s="32"/>
      <c r="E42" s="29"/>
      <c r="F42" s="33"/>
      <c r="G42" s="29"/>
      <c r="H42" s="34"/>
    </row>
    <row r="43" spans="1:8" x14ac:dyDescent="0.25">
      <c r="A43" s="69"/>
      <c r="B43" s="2" t="s">
        <v>10</v>
      </c>
      <c r="C43" s="36"/>
      <c r="D43" s="32"/>
      <c r="E43" s="29">
        <f>E45-E41</f>
        <v>-620.69999999995343</v>
      </c>
      <c r="F43" s="33"/>
      <c r="G43" s="29"/>
      <c r="H43" s="34"/>
    </row>
    <row r="44" spans="1:8" x14ac:dyDescent="0.25">
      <c r="A44" s="69"/>
      <c r="C44" s="36"/>
      <c r="D44" s="32"/>
      <c r="E44" s="29"/>
      <c r="F44" s="33"/>
      <c r="G44" s="29"/>
      <c r="H44" s="34"/>
    </row>
    <row r="45" spans="1:8" x14ac:dyDescent="0.25">
      <c r="A45" s="68">
        <f>A41</f>
        <v>43921</v>
      </c>
      <c r="B45" s="2" t="s">
        <v>6</v>
      </c>
      <c r="C45" s="37">
        <f>C41</f>
        <v>1007100</v>
      </c>
      <c r="D45" s="65">
        <f>VLOOKUP($A45,Inputs!$A:$J,8,FALSE)</f>
        <v>0.79900000000000004</v>
      </c>
      <c r="E45" s="38">
        <f>C45*D45</f>
        <v>804672.9</v>
      </c>
      <c r="F45" s="39">
        <f>IFERROR(H45/E45,0)</f>
        <v>0.12479015854052898</v>
      </c>
      <c r="G45" s="47"/>
      <c r="H45" s="41">
        <f>H41</f>
        <v>100415.25876426723</v>
      </c>
    </row>
    <row r="46" spans="1:8" s="2" customFormat="1" x14ac:dyDescent="0.25"/>
    <row r="47" spans="1:8" s="2" customFormat="1" x14ac:dyDescent="0.25">
      <c r="C47" s="15" t="s">
        <v>0</v>
      </c>
      <c r="D47" s="15" t="s">
        <v>1</v>
      </c>
      <c r="E47" s="15" t="s">
        <v>29</v>
      </c>
      <c r="F47" s="15" t="s">
        <v>7</v>
      </c>
      <c r="G47" s="15" t="s">
        <v>9</v>
      </c>
      <c r="H47" s="15" t="s">
        <v>40</v>
      </c>
    </row>
    <row r="48" spans="1:8" x14ac:dyDescent="0.25">
      <c r="C48" s="26"/>
      <c r="D48" s="27"/>
      <c r="E48" s="27"/>
      <c r="F48" s="27"/>
      <c r="G48" s="27"/>
      <c r="H48" s="28"/>
    </row>
    <row r="49" spans="1:8" x14ac:dyDescent="0.25">
      <c r="A49" s="68">
        <f>A45</f>
        <v>43921</v>
      </c>
      <c r="B49" s="2" t="s">
        <v>5</v>
      </c>
      <c r="C49" s="42">
        <f>C45</f>
        <v>1007100</v>
      </c>
      <c r="D49" s="43">
        <f>E49/C49</f>
        <v>0.79900000000000004</v>
      </c>
      <c r="E49" s="29">
        <f>E45</f>
        <v>804672.9</v>
      </c>
      <c r="F49" s="30">
        <f>IFERROR(H49/E49,0)</f>
        <v>0.12479015854052898</v>
      </c>
      <c r="G49" s="44"/>
      <c r="H49" s="45">
        <f>H45</f>
        <v>100415.25876426723</v>
      </c>
    </row>
    <row r="50" spans="1:8" x14ac:dyDescent="0.25">
      <c r="A50" s="69"/>
      <c r="C50" s="36"/>
      <c r="D50" s="32"/>
      <c r="E50" s="29"/>
      <c r="F50" s="33"/>
      <c r="G50" s="29"/>
      <c r="H50" s="34"/>
    </row>
    <row r="51" spans="1:8" x14ac:dyDescent="0.25">
      <c r="A51" s="70">
        <f>EOMONTH(A49,1)</f>
        <v>43951</v>
      </c>
      <c r="B51" s="2" t="s">
        <v>8</v>
      </c>
      <c r="C51" s="63">
        <f>VLOOKUP($A51,Inputs!$A:$J,2,FALSE)</f>
        <v>14800</v>
      </c>
      <c r="D51" s="64">
        <f>VLOOKUP($A51,Inputs!$A:$J,6,FALSE)</f>
        <v>0.878</v>
      </c>
      <c r="E51" s="29">
        <f>C51*D51</f>
        <v>12994.4</v>
      </c>
      <c r="F51" s="35"/>
      <c r="G51" s="66">
        <f>VLOOKUP($A51,Inputs!$A:$J,7,FALSE)</f>
        <v>0.121</v>
      </c>
      <c r="H51" s="34">
        <f>E51*G51</f>
        <v>1572.3224</v>
      </c>
    </row>
    <row r="52" spans="1:8" x14ac:dyDescent="0.25">
      <c r="A52" s="69"/>
      <c r="C52" s="63"/>
      <c r="D52" s="64"/>
      <c r="E52" s="29"/>
      <c r="F52" s="33"/>
      <c r="G52" s="29"/>
      <c r="H52" s="34"/>
    </row>
    <row r="53" spans="1:8" x14ac:dyDescent="0.25">
      <c r="A53" s="70">
        <f>A51</f>
        <v>43951</v>
      </c>
      <c r="B53" s="2" t="s">
        <v>2</v>
      </c>
      <c r="C53" s="63">
        <f>VLOOKUP($A53,Inputs!$A:$J,3,FALSE)</f>
        <v>-10700</v>
      </c>
      <c r="D53" s="32">
        <v>1</v>
      </c>
      <c r="E53" s="29">
        <f>C53*D53</f>
        <v>-10700</v>
      </c>
      <c r="F53" s="46">
        <f>F$19</f>
        <v>0.12468820162421723</v>
      </c>
      <c r="G53" s="29"/>
      <c r="H53" s="34">
        <f>E53*F53</f>
        <v>-1334.1637573791245</v>
      </c>
    </row>
    <row r="54" spans="1:8" x14ac:dyDescent="0.25">
      <c r="A54" s="70">
        <f>A53</f>
        <v>43951</v>
      </c>
      <c r="B54" s="2" t="s">
        <v>3</v>
      </c>
      <c r="C54" s="63">
        <f>VLOOKUP($A54,Inputs!$A:$J,4,FALSE)</f>
        <v>-1050</v>
      </c>
      <c r="D54" s="32">
        <v>0</v>
      </c>
      <c r="E54" s="29">
        <f>C54*D54</f>
        <v>0</v>
      </c>
      <c r="F54" s="46">
        <f>F$19</f>
        <v>0.12468820162421723</v>
      </c>
      <c r="G54" s="29"/>
      <c r="H54" s="34">
        <f>E54*F54</f>
        <v>0</v>
      </c>
    </row>
    <row r="55" spans="1:8" x14ac:dyDescent="0.25">
      <c r="A55" s="69"/>
      <c r="C55" s="36"/>
      <c r="D55" s="32"/>
      <c r="E55" s="29"/>
      <c r="F55" s="33"/>
      <c r="G55" s="29"/>
      <c r="H55" s="34"/>
    </row>
    <row r="56" spans="1:8" x14ac:dyDescent="0.25">
      <c r="A56" s="68">
        <f>A54</f>
        <v>43951</v>
      </c>
      <c r="B56" s="2" t="s">
        <v>4</v>
      </c>
      <c r="C56" s="36">
        <f>SUM(C49:C55)</f>
        <v>1010150</v>
      </c>
      <c r="D56" s="32">
        <f>E56/C56</f>
        <v>0.79885888234420632</v>
      </c>
      <c r="E56" s="29">
        <f>SUM(E49:E55)</f>
        <v>806967.3</v>
      </c>
      <c r="F56" s="33"/>
      <c r="G56" s="29"/>
      <c r="H56" s="34">
        <f>SUM(H49:H55)</f>
        <v>100653.41740688811</v>
      </c>
    </row>
    <row r="57" spans="1:8" x14ac:dyDescent="0.25">
      <c r="A57" s="69"/>
      <c r="C57" s="36"/>
      <c r="D57" s="32"/>
      <c r="E57" s="29"/>
      <c r="F57" s="33"/>
      <c r="G57" s="29"/>
      <c r="H57" s="34"/>
    </row>
    <row r="58" spans="1:8" x14ac:dyDescent="0.25">
      <c r="A58" s="69"/>
      <c r="B58" s="2" t="s">
        <v>10</v>
      </c>
      <c r="C58" s="36"/>
      <c r="D58" s="32"/>
      <c r="E58" s="29">
        <f>E60-E56</f>
        <v>3173</v>
      </c>
      <c r="F58" s="33"/>
      <c r="G58" s="29"/>
      <c r="H58" s="34"/>
    </row>
    <row r="59" spans="1:8" x14ac:dyDescent="0.25">
      <c r="A59" s="69"/>
      <c r="C59" s="36"/>
      <c r="D59" s="32"/>
      <c r="E59" s="29"/>
      <c r="F59" s="33"/>
      <c r="G59" s="29"/>
      <c r="H59" s="34"/>
    </row>
    <row r="60" spans="1:8" x14ac:dyDescent="0.25">
      <c r="A60" s="68">
        <f>A56</f>
        <v>43951</v>
      </c>
      <c r="B60" s="2" t="s">
        <v>6</v>
      </c>
      <c r="C60" s="37">
        <f>C56</f>
        <v>1010150</v>
      </c>
      <c r="D60" s="65">
        <f>VLOOKUP($A60,Inputs!$A:$J,8,FALSE)</f>
        <v>0.80200000000000005</v>
      </c>
      <c r="E60" s="38">
        <f>C60*D60</f>
        <v>810140.3</v>
      </c>
      <c r="F60" s="39">
        <f>IFERROR(H60/E60,0)</f>
        <v>0.1242419583458422</v>
      </c>
      <c r="G60" s="47"/>
      <c r="H60" s="41">
        <f>H56</f>
        <v>100653.41740688811</v>
      </c>
    </row>
    <row r="61" spans="1:8" s="2" customFormat="1" x14ac:dyDescent="0.25"/>
    <row r="62" spans="1:8" s="2" customFormat="1" x14ac:dyDescent="0.25">
      <c r="C62" s="15" t="s">
        <v>0</v>
      </c>
      <c r="D62" s="15" t="s">
        <v>1</v>
      </c>
      <c r="E62" s="15" t="s">
        <v>29</v>
      </c>
      <c r="F62" s="15" t="s">
        <v>7</v>
      </c>
      <c r="G62" s="15" t="s">
        <v>9</v>
      </c>
      <c r="H62" s="15" t="s">
        <v>40</v>
      </c>
    </row>
    <row r="63" spans="1:8" x14ac:dyDescent="0.25">
      <c r="C63" s="26"/>
      <c r="D63" s="27"/>
      <c r="E63" s="27"/>
      <c r="F63" s="27"/>
      <c r="G63" s="27"/>
      <c r="H63" s="28"/>
    </row>
    <row r="64" spans="1:8" x14ac:dyDescent="0.25">
      <c r="A64" s="68">
        <f>A60</f>
        <v>43951</v>
      </c>
      <c r="B64" s="2" t="s">
        <v>5</v>
      </c>
      <c r="C64" s="42">
        <f>C60</f>
        <v>1010150</v>
      </c>
      <c r="D64" s="43">
        <f>E64/C64</f>
        <v>0.80200000000000005</v>
      </c>
      <c r="E64" s="29">
        <f>E60</f>
        <v>810140.3</v>
      </c>
      <c r="F64" s="30">
        <f>IFERROR(H64/E64,0)</f>
        <v>0.1242419583458422</v>
      </c>
      <c r="G64" s="44"/>
      <c r="H64" s="45">
        <f>H60</f>
        <v>100653.41740688811</v>
      </c>
    </row>
    <row r="65" spans="1:8" x14ac:dyDescent="0.25">
      <c r="A65" s="69"/>
      <c r="C65" s="36"/>
      <c r="D65" s="32"/>
      <c r="E65" s="29"/>
      <c r="F65" s="33"/>
      <c r="G65" s="29"/>
      <c r="H65" s="34"/>
    </row>
    <row r="66" spans="1:8" x14ac:dyDescent="0.25">
      <c r="A66" s="70">
        <f>EOMONTH(A64,1)</f>
        <v>43982</v>
      </c>
      <c r="B66" s="2" t="s">
        <v>8</v>
      </c>
      <c r="C66" s="63">
        <f>VLOOKUP($A66,Inputs!$A:$J,2,FALSE)</f>
        <v>0</v>
      </c>
      <c r="D66" s="64">
        <f>VLOOKUP($A66,Inputs!$A:$J,6,FALSE)</f>
        <v>0</v>
      </c>
      <c r="E66" s="29">
        <f>C66*D66</f>
        <v>0</v>
      </c>
      <c r="F66" s="35"/>
      <c r="G66" s="66">
        <f>VLOOKUP($A66,Inputs!$A:$J,7,FALSE)</f>
        <v>0</v>
      </c>
      <c r="H66" s="34">
        <f>E66*G66</f>
        <v>0</v>
      </c>
    </row>
    <row r="67" spans="1:8" x14ac:dyDescent="0.25">
      <c r="A67" s="69"/>
      <c r="C67" s="63"/>
      <c r="D67" s="64"/>
      <c r="E67" s="29"/>
      <c r="F67" s="33"/>
      <c r="G67" s="29"/>
      <c r="H67" s="34"/>
    </row>
    <row r="68" spans="1:8" x14ac:dyDescent="0.25">
      <c r="A68" s="70">
        <f>A66</f>
        <v>43982</v>
      </c>
      <c r="B68" s="2" t="s">
        <v>2</v>
      </c>
      <c r="C68" s="63">
        <f>VLOOKUP($A68,Inputs!$A:$J,3,FALSE)</f>
        <v>0</v>
      </c>
      <c r="D68" s="32">
        <v>1</v>
      </c>
      <c r="E68" s="29">
        <f>C68*D68</f>
        <v>0</v>
      </c>
      <c r="F68" s="46">
        <f>F$19</f>
        <v>0.12468820162421723</v>
      </c>
      <c r="G68" s="29"/>
      <c r="H68" s="34">
        <f>E68*F68</f>
        <v>0</v>
      </c>
    </row>
    <row r="69" spans="1:8" x14ac:dyDescent="0.25">
      <c r="A69" s="70">
        <f>A68</f>
        <v>43982</v>
      </c>
      <c r="B69" s="2" t="s">
        <v>3</v>
      </c>
      <c r="C69" s="63">
        <f>VLOOKUP($A69,Inputs!$A:$J,4,FALSE)</f>
        <v>0</v>
      </c>
      <c r="D69" s="32">
        <v>0</v>
      </c>
      <c r="E69" s="29">
        <f>C69*D69</f>
        <v>0</v>
      </c>
      <c r="F69" s="46">
        <f>F$19</f>
        <v>0.12468820162421723</v>
      </c>
      <c r="G69" s="29"/>
      <c r="H69" s="34">
        <f>E69*F69</f>
        <v>0</v>
      </c>
    </row>
    <row r="70" spans="1:8" x14ac:dyDescent="0.25">
      <c r="A70" s="69"/>
      <c r="C70" s="36"/>
      <c r="D70" s="32"/>
      <c r="E70" s="29"/>
      <c r="F70" s="33"/>
      <c r="G70" s="29"/>
      <c r="H70" s="34"/>
    </row>
    <row r="71" spans="1:8" x14ac:dyDescent="0.25">
      <c r="A71" s="68">
        <f>A69</f>
        <v>43982</v>
      </c>
      <c r="B71" s="2" t="s">
        <v>4</v>
      </c>
      <c r="C71" s="36">
        <f>SUM(C64:C70)</f>
        <v>1010150</v>
      </c>
      <c r="D71" s="32">
        <f>E71/C71</f>
        <v>0.80200000000000005</v>
      </c>
      <c r="E71" s="29">
        <f>SUM(E64:E70)</f>
        <v>810140.3</v>
      </c>
      <c r="F71" s="33"/>
      <c r="G71" s="29"/>
      <c r="H71" s="34">
        <f>SUM(H64:H70)</f>
        <v>100653.41740688811</v>
      </c>
    </row>
    <row r="72" spans="1:8" x14ac:dyDescent="0.25">
      <c r="A72" s="69"/>
      <c r="C72" s="36"/>
      <c r="D72" s="32"/>
      <c r="E72" s="29"/>
      <c r="F72" s="33"/>
      <c r="G72" s="29"/>
      <c r="H72" s="34"/>
    </row>
    <row r="73" spans="1:8" x14ac:dyDescent="0.25">
      <c r="A73" s="69"/>
      <c r="B73" s="2" t="s">
        <v>10</v>
      </c>
      <c r="C73" s="36"/>
      <c r="D73" s="32"/>
      <c r="E73" s="29">
        <f>E75-E71</f>
        <v>-810140.3</v>
      </c>
      <c r="F73" s="33"/>
      <c r="G73" s="29"/>
      <c r="H73" s="34"/>
    </row>
    <row r="74" spans="1:8" x14ac:dyDescent="0.25">
      <c r="A74" s="69"/>
      <c r="C74" s="36"/>
      <c r="D74" s="32"/>
      <c r="E74" s="29"/>
      <c r="F74" s="33"/>
      <c r="G74" s="29"/>
      <c r="H74" s="34"/>
    </row>
    <row r="75" spans="1:8" x14ac:dyDescent="0.25">
      <c r="A75" s="68">
        <f>A71</f>
        <v>43982</v>
      </c>
      <c r="B75" s="2" t="s">
        <v>6</v>
      </c>
      <c r="C75" s="37">
        <f>C71</f>
        <v>1010150</v>
      </c>
      <c r="D75" s="65">
        <f>VLOOKUP($A75,Inputs!$A:$J,8,FALSE)</f>
        <v>0</v>
      </c>
      <c r="E75" s="38">
        <f>C75*D75</f>
        <v>0</v>
      </c>
      <c r="F75" s="39">
        <f>IFERROR(H75/E75,0)</f>
        <v>0</v>
      </c>
      <c r="G75" s="47"/>
      <c r="H75" s="41">
        <f>H71</f>
        <v>100653.41740688811</v>
      </c>
    </row>
    <row r="76" spans="1:8" s="2" customFormat="1" x14ac:dyDescent="0.25"/>
    <row r="77" spans="1:8" s="2" customFormat="1" x14ac:dyDescent="0.25">
      <c r="C77" s="15" t="s">
        <v>0</v>
      </c>
      <c r="D77" s="15" t="s">
        <v>1</v>
      </c>
      <c r="E77" s="15" t="s">
        <v>29</v>
      </c>
      <c r="F77" s="15" t="s">
        <v>7</v>
      </c>
      <c r="G77" s="15" t="s">
        <v>9</v>
      </c>
      <c r="H77" s="15" t="s">
        <v>40</v>
      </c>
    </row>
    <row r="78" spans="1:8" x14ac:dyDescent="0.25">
      <c r="C78" s="26"/>
      <c r="D78" s="27"/>
      <c r="E78" s="27"/>
      <c r="F78" s="27"/>
      <c r="G78" s="27"/>
      <c r="H78" s="28"/>
    </row>
    <row r="79" spans="1:8" x14ac:dyDescent="0.25">
      <c r="A79" s="68">
        <f>A75</f>
        <v>43982</v>
      </c>
      <c r="B79" s="2" t="s">
        <v>5</v>
      </c>
      <c r="C79" s="42">
        <f>C75</f>
        <v>1010150</v>
      </c>
      <c r="D79" s="43">
        <f>E79/C79</f>
        <v>0</v>
      </c>
      <c r="E79" s="29">
        <f>E75</f>
        <v>0</v>
      </c>
      <c r="F79" s="30">
        <f>IFERROR(H79/E79,0)</f>
        <v>0</v>
      </c>
      <c r="G79" s="44"/>
      <c r="H79" s="45">
        <f>H75</f>
        <v>100653.41740688811</v>
      </c>
    </row>
    <row r="80" spans="1:8" x14ac:dyDescent="0.25">
      <c r="A80" s="69"/>
      <c r="C80" s="36"/>
      <c r="D80" s="32"/>
      <c r="E80" s="29"/>
      <c r="F80" s="33"/>
      <c r="G80" s="29"/>
      <c r="H80" s="34"/>
    </row>
    <row r="81" spans="1:8" x14ac:dyDescent="0.25">
      <c r="A81" s="70">
        <f>EOMONTH(A79,1)</f>
        <v>44012</v>
      </c>
      <c r="B81" s="2" t="s">
        <v>8</v>
      </c>
      <c r="C81" s="63">
        <f>VLOOKUP($A81,Inputs!$A:$J,2,FALSE)</f>
        <v>0</v>
      </c>
      <c r="D81" s="64">
        <f>VLOOKUP($A81,Inputs!$A:$J,6,FALSE)</f>
        <v>0</v>
      </c>
      <c r="E81" s="29">
        <f>C81*D81</f>
        <v>0</v>
      </c>
      <c r="F81" s="35"/>
      <c r="G81" s="66">
        <f>VLOOKUP($A81,Inputs!$A:$J,7,FALSE)</f>
        <v>0</v>
      </c>
      <c r="H81" s="34">
        <f>E81*G81</f>
        <v>0</v>
      </c>
    </row>
    <row r="82" spans="1:8" x14ac:dyDescent="0.25">
      <c r="A82" s="69"/>
      <c r="C82" s="63"/>
      <c r="D82" s="64"/>
      <c r="E82" s="29"/>
      <c r="F82" s="33"/>
      <c r="G82" s="29"/>
      <c r="H82" s="34"/>
    </row>
    <row r="83" spans="1:8" x14ac:dyDescent="0.25">
      <c r="A83" s="70">
        <f>A81</f>
        <v>44012</v>
      </c>
      <c r="B83" s="2" t="s">
        <v>2</v>
      </c>
      <c r="C83" s="63">
        <f>VLOOKUP($A83,Inputs!$A:$J,3,FALSE)</f>
        <v>0</v>
      </c>
      <c r="D83" s="32">
        <v>1</v>
      </c>
      <c r="E83" s="29">
        <f>C83*D83</f>
        <v>0</v>
      </c>
      <c r="F83" s="46">
        <f>F$19</f>
        <v>0.12468820162421723</v>
      </c>
      <c r="G83" s="29"/>
      <c r="H83" s="34">
        <f>E83*F83</f>
        <v>0</v>
      </c>
    </row>
    <row r="84" spans="1:8" x14ac:dyDescent="0.25">
      <c r="A84" s="70">
        <f>A83</f>
        <v>44012</v>
      </c>
      <c r="B84" s="2" t="s">
        <v>3</v>
      </c>
      <c r="C84" s="63">
        <f>VLOOKUP($A84,Inputs!$A:$J,4,FALSE)</f>
        <v>0</v>
      </c>
      <c r="D84" s="32">
        <v>0</v>
      </c>
      <c r="E84" s="29">
        <f>C84*D84</f>
        <v>0</v>
      </c>
      <c r="F84" s="46">
        <f>F$19</f>
        <v>0.12468820162421723</v>
      </c>
      <c r="G84" s="29"/>
      <c r="H84" s="34">
        <f>E84*F84</f>
        <v>0</v>
      </c>
    </row>
    <row r="85" spans="1:8" x14ac:dyDescent="0.25">
      <c r="A85" s="69"/>
      <c r="C85" s="36"/>
      <c r="D85" s="32"/>
      <c r="E85" s="29"/>
      <c r="F85" s="33"/>
      <c r="G85" s="29"/>
      <c r="H85" s="34"/>
    </row>
    <row r="86" spans="1:8" x14ac:dyDescent="0.25">
      <c r="A86" s="68">
        <f>A84</f>
        <v>44012</v>
      </c>
      <c r="B86" s="2" t="s">
        <v>4</v>
      </c>
      <c r="C86" s="36">
        <f>SUM(C79:C85)</f>
        <v>1010150</v>
      </c>
      <c r="D86" s="32">
        <f>E86/C86</f>
        <v>0</v>
      </c>
      <c r="E86" s="29">
        <f>SUM(E79:E85)</f>
        <v>0</v>
      </c>
      <c r="F86" s="33"/>
      <c r="G86" s="29"/>
      <c r="H86" s="34">
        <f>SUM(H79:H85)</f>
        <v>100653.41740688811</v>
      </c>
    </row>
    <row r="87" spans="1:8" x14ac:dyDescent="0.25">
      <c r="A87" s="69"/>
      <c r="C87" s="36"/>
      <c r="D87" s="32"/>
      <c r="E87" s="29"/>
      <c r="F87" s="33"/>
      <c r="G87" s="29"/>
      <c r="H87" s="34"/>
    </row>
    <row r="88" spans="1:8" x14ac:dyDescent="0.25">
      <c r="A88" s="69"/>
      <c r="B88" s="2" t="s">
        <v>10</v>
      </c>
      <c r="C88" s="36"/>
      <c r="D88" s="32"/>
      <c r="E88" s="29">
        <f>E90-E86</f>
        <v>0</v>
      </c>
      <c r="F88" s="33"/>
      <c r="G88" s="29"/>
      <c r="H88" s="34"/>
    </row>
    <row r="89" spans="1:8" x14ac:dyDescent="0.25">
      <c r="A89" s="69"/>
      <c r="C89" s="36"/>
      <c r="D89" s="32"/>
      <c r="E89" s="29"/>
      <c r="F89" s="33"/>
      <c r="G89" s="29"/>
      <c r="H89" s="34"/>
    </row>
    <row r="90" spans="1:8" x14ac:dyDescent="0.25">
      <c r="A90" s="68">
        <f>A86</f>
        <v>44012</v>
      </c>
      <c r="B90" s="2" t="s">
        <v>6</v>
      </c>
      <c r="C90" s="37">
        <f>C86</f>
        <v>1010150</v>
      </c>
      <c r="D90" s="65">
        <f>VLOOKUP($A90,Inputs!$A:$J,8,FALSE)</f>
        <v>0</v>
      </c>
      <c r="E90" s="38">
        <f>C90*D90</f>
        <v>0</v>
      </c>
      <c r="F90" s="39">
        <f>IFERROR(H90/E90,0)</f>
        <v>0</v>
      </c>
      <c r="G90" s="47"/>
      <c r="H90" s="41">
        <f>H86</f>
        <v>100653.41740688811</v>
      </c>
    </row>
    <row r="91" spans="1:8" s="2" customFormat="1" x14ac:dyDescent="0.25"/>
    <row r="92" spans="1:8" s="2" customFormat="1" x14ac:dyDescent="0.25">
      <c r="C92" s="15" t="s">
        <v>0</v>
      </c>
      <c r="D92" s="15" t="s">
        <v>1</v>
      </c>
      <c r="E92" s="15" t="s">
        <v>29</v>
      </c>
      <c r="F92" s="15" t="s">
        <v>7</v>
      </c>
      <c r="G92" s="15" t="s">
        <v>9</v>
      </c>
      <c r="H92" s="15" t="s">
        <v>40</v>
      </c>
    </row>
    <row r="93" spans="1:8" x14ac:dyDescent="0.25">
      <c r="C93" s="26"/>
      <c r="D93" s="27"/>
      <c r="E93" s="27"/>
      <c r="F93" s="27"/>
      <c r="G93" s="27"/>
      <c r="H93" s="28"/>
    </row>
    <row r="94" spans="1:8" x14ac:dyDescent="0.25">
      <c r="A94" s="68">
        <f>A90</f>
        <v>44012</v>
      </c>
      <c r="B94" s="2" t="s">
        <v>5</v>
      </c>
      <c r="C94" s="42">
        <f>C90</f>
        <v>1010150</v>
      </c>
      <c r="D94" s="43">
        <f>E94/C94</f>
        <v>0</v>
      </c>
      <c r="E94" s="29">
        <f>E90</f>
        <v>0</v>
      </c>
      <c r="F94" s="30">
        <f>IFERROR(H94/E94,0)</f>
        <v>0</v>
      </c>
      <c r="G94" s="44"/>
      <c r="H94" s="45">
        <f>H90</f>
        <v>100653.41740688811</v>
      </c>
    </row>
    <row r="95" spans="1:8" x14ac:dyDescent="0.25">
      <c r="A95" s="69"/>
      <c r="C95" s="36"/>
      <c r="D95" s="32"/>
      <c r="E95" s="29"/>
      <c r="F95" s="33"/>
      <c r="G95" s="29"/>
      <c r="H95" s="34"/>
    </row>
    <row r="96" spans="1:8" x14ac:dyDescent="0.25">
      <c r="A96" s="70">
        <f>EOMONTH(A94,1)</f>
        <v>44043</v>
      </c>
      <c r="B96" s="2" t="s">
        <v>8</v>
      </c>
      <c r="C96" s="63">
        <f>VLOOKUP($A96,Inputs!$A:$J,2,FALSE)</f>
        <v>0</v>
      </c>
      <c r="D96" s="64">
        <f>VLOOKUP($A96,Inputs!$A:$J,6,FALSE)</f>
        <v>0</v>
      </c>
      <c r="E96" s="29">
        <f>C96*D96</f>
        <v>0</v>
      </c>
      <c r="F96" s="35"/>
      <c r="G96" s="66">
        <f>VLOOKUP($A96,Inputs!$A:$J,7,FALSE)</f>
        <v>0</v>
      </c>
      <c r="H96" s="34">
        <f>E96*G96</f>
        <v>0</v>
      </c>
    </row>
    <row r="97" spans="1:8" x14ac:dyDescent="0.25">
      <c r="A97" s="69"/>
      <c r="C97" s="63"/>
      <c r="D97" s="64"/>
      <c r="E97" s="29"/>
      <c r="F97" s="33"/>
      <c r="G97" s="29"/>
      <c r="H97" s="34"/>
    </row>
    <row r="98" spans="1:8" x14ac:dyDescent="0.25">
      <c r="A98" s="70">
        <f>A96</f>
        <v>44043</v>
      </c>
      <c r="B98" s="2" t="s">
        <v>2</v>
      </c>
      <c r="C98" s="63">
        <f>VLOOKUP($A98,Inputs!$A:$J,3,FALSE)</f>
        <v>0</v>
      </c>
      <c r="D98" s="32">
        <v>1</v>
      </c>
      <c r="E98" s="29">
        <f>C98*D98</f>
        <v>0</v>
      </c>
      <c r="F98" s="46">
        <f>F$19</f>
        <v>0.12468820162421723</v>
      </c>
      <c r="G98" s="29"/>
      <c r="H98" s="34">
        <f>E98*F98</f>
        <v>0</v>
      </c>
    </row>
    <row r="99" spans="1:8" x14ac:dyDescent="0.25">
      <c r="A99" s="70">
        <f>A98</f>
        <v>44043</v>
      </c>
      <c r="B99" s="2" t="s">
        <v>3</v>
      </c>
      <c r="C99" s="63">
        <f>VLOOKUP($A99,Inputs!$A:$J,4,FALSE)</f>
        <v>0</v>
      </c>
      <c r="D99" s="32">
        <v>0</v>
      </c>
      <c r="E99" s="29">
        <f>C99*D99</f>
        <v>0</v>
      </c>
      <c r="F99" s="46">
        <f>F$19</f>
        <v>0.12468820162421723</v>
      </c>
      <c r="G99" s="29"/>
      <c r="H99" s="34">
        <f>E99*F99</f>
        <v>0</v>
      </c>
    </row>
    <row r="100" spans="1:8" x14ac:dyDescent="0.25">
      <c r="A100" s="69"/>
      <c r="C100" s="36"/>
      <c r="D100" s="32"/>
      <c r="E100" s="29"/>
      <c r="F100" s="33"/>
      <c r="G100" s="29"/>
      <c r="H100" s="34"/>
    </row>
    <row r="101" spans="1:8" x14ac:dyDescent="0.25">
      <c r="A101" s="68">
        <f>A99</f>
        <v>44043</v>
      </c>
      <c r="B101" s="2" t="s">
        <v>4</v>
      </c>
      <c r="C101" s="36">
        <f>SUM(C94:C100)</f>
        <v>1010150</v>
      </c>
      <c r="D101" s="32">
        <f>E101/C101</f>
        <v>0</v>
      </c>
      <c r="E101" s="29">
        <f>SUM(E94:E100)</f>
        <v>0</v>
      </c>
      <c r="F101" s="33"/>
      <c r="G101" s="29"/>
      <c r="H101" s="34">
        <f>SUM(H94:H100)</f>
        <v>100653.41740688811</v>
      </c>
    </row>
    <row r="102" spans="1:8" x14ac:dyDescent="0.25">
      <c r="A102" s="69"/>
      <c r="C102" s="36"/>
      <c r="D102" s="32"/>
      <c r="E102" s="29"/>
      <c r="F102" s="33"/>
      <c r="G102" s="29"/>
      <c r="H102" s="34"/>
    </row>
    <row r="103" spans="1:8" x14ac:dyDescent="0.25">
      <c r="A103" s="69"/>
      <c r="B103" s="2" t="s">
        <v>10</v>
      </c>
      <c r="C103" s="36"/>
      <c r="D103" s="32"/>
      <c r="E103" s="29">
        <f>E105-E101</f>
        <v>0</v>
      </c>
      <c r="F103" s="33"/>
      <c r="G103" s="29"/>
      <c r="H103" s="34"/>
    </row>
    <row r="104" spans="1:8" x14ac:dyDescent="0.25">
      <c r="A104" s="69"/>
      <c r="C104" s="36"/>
      <c r="D104" s="32"/>
      <c r="E104" s="29"/>
      <c r="F104" s="33"/>
      <c r="G104" s="29"/>
      <c r="H104" s="34"/>
    </row>
    <row r="105" spans="1:8" x14ac:dyDescent="0.25">
      <c r="A105" s="68">
        <f>A101</f>
        <v>44043</v>
      </c>
      <c r="B105" s="2" t="s">
        <v>6</v>
      </c>
      <c r="C105" s="37">
        <f>C101</f>
        <v>1010150</v>
      </c>
      <c r="D105" s="65">
        <f>VLOOKUP($A105,Inputs!$A:$J,8,FALSE)</f>
        <v>0</v>
      </c>
      <c r="E105" s="38">
        <f>C105*D105</f>
        <v>0</v>
      </c>
      <c r="F105" s="39">
        <f>IFERROR(H105/E105,0)</f>
        <v>0</v>
      </c>
      <c r="G105" s="47"/>
      <c r="H105" s="41">
        <f>H101</f>
        <v>100653.41740688811</v>
      </c>
    </row>
    <row r="106" spans="1:8" s="2" customFormat="1" x14ac:dyDescent="0.25"/>
    <row r="107" spans="1:8" s="2" customFormat="1" x14ac:dyDescent="0.25">
      <c r="C107" s="15" t="s">
        <v>0</v>
      </c>
      <c r="D107" s="15" t="s">
        <v>1</v>
      </c>
      <c r="E107" s="15" t="s">
        <v>29</v>
      </c>
      <c r="F107" s="15" t="s">
        <v>7</v>
      </c>
      <c r="G107" s="15" t="s">
        <v>9</v>
      </c>
      <c r="H107" s="15" t="s">
        <v>40</v>
      </c>
    </row>
    <row r="108" spans="1:8" x14ac:dyDescent="0.25">
      <c r="C108" s="26"/>
      <c r="D108" s="27"/>
      <c r="E108" s="27"/>
      <c r="F108" s="27"/>
      <c r="G108" s="27"/>
      <c r="H108" s="28"/>
    </row>
    <row r="109" spans="1:8" x14ac:dyDescent="0.25">
      <c r="A109" s="68">
        <f>A105</f>
        <v>44043</v>
      </c>
      <c r="B109" s="2" t="s">
        <v>5</v>
      </c>
      <c r="C109" s="42">
        <f>C105</f>
        <v>1010150</v>
      </c>
      <c r="D109" s="43">
        <f>E109/C109</f>
        <v>0</v>
      </c>
      <c r="E109" s="29">
        <f>E105</f>
        <v>0</v>
      </c>
      <c r="F109" s="30">
        <f>IFERROR(H109/E109,0)</f>
        <v>0</v>
      </c>
      <c r="G109" s="44"/>
      <c r="H109" s="45">
        <f>H105</f>
        <v>100653.41740688811</v>
      </c>
    </row>
    <row r="110" spans="1:8" x14ac:dyDescent="0.25">
      <c r="A110" s="69"/>
      <c r="C110" s="36"/>
      <c r="D110" s="32"/>
      <c r="E110" s="29"/>
      <c r="F110" s="33"/>
      <c r="G110" s="29"/>
      <c r="H110" s="34"/>
    </row>
    <row r="111" spans="1:8" x14ac:dyDescent="0.25">
      <c r="A111" s="70">
        <f>EOMONTH(A109,1)</f>
        <v>44074</v>
      </c>
      <c r="B111" s="2" t="s">
        <v>8</v>
      </c>
      <c r="C111" s="63">
        <f>VLOOKUP($A111,Inputs!$A:$J,2,FALSE)</f>
        <v>0</v>
      </c>
      <c r="D111" s="64">
        <f>VLOOKUP($A111,Inputs!$A:$J,6,FALSE)</f>
        <v>0</v>
      </c>
      <c r="E111" s="29">
        <f>C111*D111</f>
        <v>0</v>
      </c>
      <c r="F111" s="35"/>
      <c r="G111" s="66">
        <f>VLOOKUP($A111,Inputs!$A:$J,7,FALSE)</f>
        <v>0</v>
      </c>
      <c r="H111" s="34">
        <f>E111*G111</f>
        <v>0</v>
      </c>
    </row>
    <row r="112" spans="1:8" x14ac:dyDescent="0.25">
      <c r="A112" s="69"/>
      <c r="C112" s="63"/>
      <c r="D112" s="64"/>
      <c r="E112" s="29"/>
      <c r="F112" s="33"/>
      <c r="G112" s="29"/>
      <c r="H112" s="34"/>
    </row>
    <row r="113" spans="1:8" x14ac:dyDescent="0.25">
      <c r="A113" s="70">
        <f>A111</f>
        <v>44074</v>
      </c>
      <c r="B113" s="2" t="s">
        <v>2</v>
      </c>
      <c r="C113" s="63">
        <f>VLOOKUP($A113,Inputs!$A:$J,3,FALSE)</f>
        <v>0</v>
      </c>
      <c r="D113" s="32">
        <v>1</v>
      </c>
      <c r="E113" s="29">
        <f>C113*D113</f>
        <v>0</v>
      </c>
      <c r="F113" s="46">
        <f>F$19</f>
        <v>0.12468820162421723</v>
      </c>
      <c r="G113" s="29"/>
      <c r="H113" s="34">
        <f>E113*F113</f>
        <v>0</v>
      </c>
    </row>
    <row r="114" spans="1:8" x14ac:dyDescent="0.25">
      <c r="A114" s="70">
        <f>A113</f>
        <v>44074</v>
      </c>
      <c r="B114" s="2" t="s">
        <v>3</v>
      </c>
      <c r="C114" s="63">
        <f>VLOOKUP($A114,Inputs!$A:$J,4,FALSE)</f>
        <v>0</v>
      </c>
      <c r="D114" s="32">
        <v>0</v>
      </c>
      <c r="E114" s="29">
        <f>C114*D114</f>
        <v>0</v>
      </c>
      <c r="F114" s="46">
        <f>F$19</f>
        <v>0.12468820162421723</v>
      </c>
      <c r="G114" s="29"/>
      <c r="H114" s="34">
        <f>E114*F114</f>
        <v>0</v>
      </c>
    </row>
    <row r="115" spans="1:8" x14ac:dyDescent="0.25">
      <c r="A115" s="69"/>
      <c r="C115" s="36"/>
      <c r="D115" s="32"/>
      <c r="E115" s="29"/>
      <c r="F115" s="33"/>
      <c r="G115" s="29"/>
      <c r="H115" s="34"/>
    </row>
    <row r="116" spans="1:8" x14ac:dyDescent="0.25">
      <c r="A116" s="68">
        <f>A114</f>
        <v>44074</v>
      </c>
      <c r="B116" s="2" t="s">
        <v>4</v>
      </c>
      <c r="C116" s="36">
        <f>SUM(C109:C115)</f>
        <v>1010150</v>
      </c>
      <c r="D116" s="32">
        <f>E116/C116</f>
        <v>0</v>
      </c>
      <c r="E116" s="29">
        <f>SUM(E109:E115)</f>
        <v>0</v>
      </c>
      <c r="F116" s="33"/>
      <c r="G116" s="29"/>
      <c r="H116" s="34">
        <f>SUM(H109:H115)</f>
        <v>100653.41740688811</v>
      </c>
    </row>
    <row r="117" spans="1:8" x14ac:dyDescent="0.25">
      <c r="A117" s="69"/>
      <c r="C117" s="36"/>
      <c r="D117" s="32"/>
      <c r="E117" s="29"/>
      <c r="F117" s="33"/>
      <c r="G117" s="29"/>
      <c r="H117" s="34"/>
    </row>
    <row r="118" spans="1:8" x14ac:dyDescent="0.25">
      <c r="A118" s="69"/>
      <c r="B118" s="2" t="s">
        <v>10</v>
      </c>
      <c r="C118" s="36"/>
      <c r="D118" s="32"/>
      <c r="E118" s="29">
        <f>E120-E116</f>
        <v>0</v>
      </c>
      <c r="F118" s="33"/>
      <c r="G118" s="29"/>
      <c r="H118" s="34"/>
    </row>
    <row r="119" spans="1:8" x14ac:dyDescent="0.25">
      <c r="A119" s="69"/>
      <c r="C119" s="36"/>
      <c r="D119" s="32"/>
      <c r="E119" s="29"/>
      <c r="F119" s="33"/>
      <c r="G119" s="29"/>
      <c r="H119" s="34"/>
    </row>
    <row r="120" spans="1:8" x14ac:dyDescent="0.25">
      <c r="A120" s="68">
        <f>A116</f>
        <v>44074</v>
      </c>
      <c r="B120" s="2" t="s">
        <v>6</v>
      </c>
      <c r="C120" s="37">
        <f>C116</f>
        <v>1010150</v>
      </c>
      <c r="D120" s="65">
        <f>VLOOKUP($A120,Inputs!$A:$J,8,FALSE)</f>
        <v>0</v>
      </c>
      <c r="E120" s="38">
        <f>C120*D120</f>
        <v>0</v>
      </c>
      <c r="F120" s="39">
        <f>IFERROR(H120/E120,0)</f>
        <v>0</v>
      </c>
      <c r="G120" s="47"/>
      <c r="H120" s="41">
        <f>H116</f>
        <v>100653.41740688811</v>
      </c>
    </row>
    <row r="121" spans="1:8" s="2" customFormat="1" x14ac:dyDescent="0.25"/>
    <row r="122" spans="1:8" s="2" customFormat="1" x14ac:dyDescent="0.25">
      <c r="C122" s="15" t="s">
        <v>0</v>
      </c>
      <c r="D122" s="15" t="s">
        <v>1</v>
      </c>
      <c r="E122" s="15" t="s">
        <v>29</v>
      </c>
      <c r="F122" s="15" t="s">
        <v>7</v>
      </c>
      <c r="G122" s="15" t="s">
        <v>9</v>
      </c>
      <c r="H122" s="15" t="s">
        <v>40</v>
      </c>
    </row>
    <row r="123" spans="1:8" x14ac:dyDescent="0.25">
      <c r="C123" s="26"/>
      <c r="D123" s="27"/>
      <c r="E123" s="27"/>
      <c r="F123" s="27"/>
      <c r="G123" s="27"/>
      <c r="H123" s="28"/>
    </row>
    <row r="124" spans="1:8" x14ac:dyDescent="0.25">
      <c r="A124" s="68">
        <f>A120</f>
        <v>44074</v>
      </c>
      <c r="B124" s="2" t="s">
        <v>5</v>
      </c>
      <c r="C124" s="42">
        <f>C120</f>
        <v>1010150</v>
      </c>
      <c r="D124" s="43">
        <f>E124/C124</f>
        <v>0</v>
      </c>
      <c r="E124" s="29">
        <f>E120</f>
        <v>0</v>
      </c>
      <c r="F124" s="30">
        <f>IFERROR(H124/E124,0)</f>
        <v>0</v>
      </c>
      <c r="G124" s="44"/>
      <c r="H124" s="45">
        <f>H120</f>
        <v>100653.41740688811</v>
      </c>
    </row>
    <row r="125" spans="1:8" x14ac:dyDescent="0.25">
      <c r="A125" s="69"/>
      <c r="C125" s="36"/>
      <c r="D125" s="32"/>
      <c r="E125" s="29"/>
      <c r="F125" s="33"/>
      <c r="G125" s="29"/>
      <c r="H125" s="34"/>
    </row>
    <row r="126" spans="1:8" x14ac:dyDescent="0.25">
      <c r="A126" s="70">
        <f>EOMONTH(A124,1)</f>
        <v>44104</v>
      </c>
      <c r="B126" s="2" t="s">
        <v>8</v>
      </c>
      <c r="C126" s="63">
        <f>VLOOKUP($A126,Inputs!$A:$J,2,FALSE)</f>
        <v>0</v>
      </c>
      <c r="D126" s="64">
        <f>VLOOKUP($A126,Inputs!$A:$J,6,FALSE)</f>
        <v>0</v>
      </c>
      <c r="E126" s="29">
        <f>C126*D126</f>
        <v>0</v>
      </c>
      <c r="F126" s="35"/>
      <c r="G126" s="66">
        <f>VLOOKUP($A126,Inputs!$A:$J,7,FALSE)</f>
        <v>0</v>
      </c>
      <c r="H126" s="34">
        <f>E126*G126</f>
        <v>0</v>
      </c>
    </row>
    <row r="127" spans="1:8" x14ac:dyDescent="0.25">
      <c r="A127" s="69"/>
      <c r="C127" s="63"/>
      <c r="D127" s="64"/>
      <c r="E127" s="29"/>
      <c r="F127" s="33"/>
      <c r="G127" s="29"/>
      <c r="H127" s="34"/>
    </row>
    <row r="128" spans="1:8" x14ac:dyDescent="0.25">
      <c r="A128" s="70">
        <f>A126</f>
        <v>44104</v>
      </c>
      <c r="B128" s="2" t="s">
        <v>2</v>
      </c>
      <c r="C128" s="63">
        <f>VLOOKUP($A128,Inputs!$A:$J,3,FALSE)</f>
        <v>0</v>
      </c>
      <c r="D128" s="32">
        <v>1</v>
      </c>
      <c r="E128" s="29">
        <f>C128*D128</f>
        <v>0</v>
      </c>
      <c r="F128" s="46">
        <f>F$19</f>
        <v>0.12468820162421723</v>
      </c>
      <c r="G128" s="29"/>
      <c r="H128" s="34">
        <f>E128*F128</f>
        <v>0</v>
      </c>
    </row>
    <row r="129" spans="1:8" x14ac:dyDescent="0.25">
      <c r="A129" s="70">
        <f>A128</f>
        <v>44104</v>
      </c>
      <c r="B129" s="2" t="s">
        <v>3</v>
      </c>
      <c r="C129" s="63">
        <f>VLOOKUP($A129,Inputs!$A:$J,4,FALSE)</f>
        <v>0</v>
      </c>
      <c r="D129" s="32">
        <v>0</v>
      </c>
      <c r="E129" s="29">
        <f>C129*D129</f>
        <v>0</v>
      </c>
      <c r="F129" s="46">
        <f>F$19</f>
        <v>0.12468820162421723</v>
      </c>
      <c r="G129" s="29"/>
      <c r="H129" s="34">
        <f>E129*F129</f>
        <v>0</v>
      </c>
    </row>
    <row r="130" spans="1:8" x14ac:dyDescent="0.25">
      <c r="A130" s="69"/>
      <c r="C130" s="36"/>
      <c r="D130" s="32"/>
      <c r="E130" s="29"/>
      <c r="F130" s="33"/>
      <c r="G130" s="29"/>
      <c r="H130" s="34"/>
    </row>
    <row r="131" spans="1:8" x14ac:dyDescent="0.25">
      <c r="A131" s="68">
        <f>A129</f>
        <v>44104</v>
      </c>
      <c r="B131" s="2" t="s">
        <v>4</v>
      </c>
      <c r="C131" s="36">
        <f>SUM(C124:C130)</f>
        <v>1010150</v>
      </c>
      <c r="D131" s="32">
        <f>E131/C131</f>
        <v>0</v>
      </c>
      <c r="E131" s="29">
        <f>SUM(E124:E130)</f>
        <v>0</v>
      </c>
      <c r="F131" s="33"/>
      <c r="G131" s="29"/>
      <c r="H131" s="34">
        <f>SUM(H124:H130)</f>
        <v>100653.41740688811</v>
      </c>
    </row>
    <row r="132" spans="1:8" x14ac:dyDescent="0.25">
      <c r="A132" s="69"/>
      <c r="C132" s="36"/>
      <c r="D132" s="32"/>
      <c r="E132" s="29"/>
      <c r="F132" s="33"/>
      <c r="G132" s="29"/>
      <c r="H132" s="34"/>
    </row>
    <row r="133" spans="1:8" x14ac:dyDescent="0.25">
      <c r="A133" s="69"/>
      <c r="B133" s="2" t="s">
        <v>10</v>
      </c>
      <c r="C133" s="36"/>
      <c r="D133" s="32"/>
      <c r="E133" s="29">
        <f>E135-E131</f>
        <v>0</v>
      </c>
      <c r="F133" s="33"/>
      <c r="G133" s="29"/>
      <c r="H133" s="34"/>
    </row>
    <row r="134" spans="1:8" x14ac:dyDescent="0.25">
      <c r="A134" s="69"/>
      <c r="C134" s="36"/>
      <c r="D134" s="32"/>
      <c r="E134" s="29"/>
      <c r="F134" s="33"/>
      <c r="G134" s="29"/>
      <c r="H134" s="34"/>
    </row>
    <row r="135" spans="1:8" x14ac:dyDescent="0.25">
      <c r="A135" s="68">
        <f>A131</f>
        <v>44104</v>
      </c>
      <c r="B135" s="2" t="s">
        <v>6</v>
      </c>
      <c r="C135" s="37">
        <f>C131</f>
        <v>1010150</v>
      </c>
      <c r="D135" s="65">
        <f>VLOOKUP($A135,Inputs!$A:$J,8,FALSE)</f>
        <v>0</v>
      </c>
      <c r="E135" s="38">
        <f>C135*D135</f>
        <v>0</v>
      </c>
      <c r="F135" s="39">
        <f>IFERROR(H135/E135,0)</f>
        <v>0</v>
      </c>
      <c r="G135" s="47"/>
      <c r="H135" s="41">
        <f>H131</f>
        <v>100653.41740688811</v>
      </c>
    </row>
    <row r="136" spans="1:8" s="2" customFormat="1" x14ac:dyDescent="0.25"/>
    <row r="137" spans="1:8" s="2" customFormat="1" x14ac:dyDescent="0.25">
      <c r="C137" s="15" t="s">
        <v>0</v>
      </c>
      <c r="D137" s="15" t="s">
        <v>1</v>
      </c>
      <c r="E137" s="15" t="s">
        <v>29</v>
      </c>
      <c r="F137" s="15" t="s">
        <v>7</v>
      </c>
      <c r="G137" s="15" t="s">
        <v>9</v>
      </c>
      <c r="H137" s="15" t="s">
        <v>40</v>
      </c>
    </row>
    <row r="138" spans="1:8" x14ac:dyDescent="0.25">
      <c r="C138" s="26"/>
      <c r="D138" s="27"/>
      <c r="E138" s="27"/>
      <c r="F138" s="27"/>
      <c r="G138" s="27"/>
      <c r="H138" s="28"/>
    </row>
    <row r="139" spans="1:8" x14ac:dyDescent="0.25">
      <c r="A139" s="68">
        <f>A135</f>
        <v>44104</v>
      </c>
      <c r="B139" s="2" t="s">
        <v>5</v>
      </c>
      <c r="C139" s="42">
        <f>C135</f>
        <v>1010150</v>
      </c>
      <c r="D139" s="43">
        <f>E139/C139</f>
        <v>0</v>
      </c>
      <c r="E139" s="29">
        <f>E135</f>
        <v>0</v>
      </c>
      <c r="F139" s="30">
        <f>IFERROR(H139/E139,0)</f>
        <v>0</v>
      </c>
      <c r="G139" s="44"/>
      <c r="H139" s="45">
        <f>H135</f>
        <v>100653.41740688811</v>
      </c>
    </row>
    <row r="140" spans="1:8" x14ac:dyDescent="0.25">
      <c r="A140" s="69"/>
      <c r="C140" s="36"/>
      <c r="D140" s="32"/>
      <c r="E140" s="29"/>
      <c r="F140" s="33"/>
      <c r="G140" s="29"/>
      <c r="H140" s="34"/>
    </row>
    <row r="141" spans="1:8" x14ac:dyDescent="0.25">
      <c r="A141" s="70">
        <f>EOMONTH(A139,1)</f>
        <v>44135</v>
      </c>
      <c r="B141" s="2" t="s">
        <v>8</v>
      </c>
      <c r="C141" s="63">
        <f>VLOOKUP($A141,Inputs!$A:$J,2,FALSE)</f>
        <v>0</v>
      </c>
      <c r="D141" s="64">
        <f>VLOOKUP($A141,Inputs!$A:$J,6,FALSE)</f>
        <v>0</v>
      </c>
      <c r="E141" s="29">
        <f>C141*D141</f>
        <v>0</v>
      </c>
      <c r="F141" s="35"/>
      <c r="G141" s="66">
        <f>VLOOKUP($A141,Inputs!$A:$J,7,FALSE)</f>
        <v>0</v>
      </c>
      <c r="H141" s="34">
        <f>E141*G141</f>
        <v>0</v>
      </c>
    </row>
    <row r="142" spans="1:8" x14ac:dyDescent="0.25">
      <c r="A142" s="69"/>
      <c r="C142" s="63"/>
      <c r="D142" s="64"/>
      <c r="E142" s="29"/>
      <c r="F142" s="33"/>
      <c r="G142" s="29"/>
      <c r="H142" s="34"/>
    </row>
    <row r="143" spans="1:8" x14ac:dyDescent="0.25">
      <c r="A143" s="70">
        <f>A141</f>
        <v>44135</v>
      </c>
      <c r="B143" s="2" t="s">
        <v>2</v>
      </c>
      <c r="C143" s="63">
        <f>VLOOKUP($A143,Inputs!$A:$J,3,FALSE)</f>
        <v>0</v>
      </c>
      <c r="D143" s="32">
        <v>1</v>
      </c>
      <c r="E143" s="29">
        <f>C143*D143</f>
        <v>0</v>
      </c>
      <c r="F143" s="46">
        <f>F$19</f>
        <v>0.12468820162421723</v>
      </c>
      <c r="G143" s="29"/>
      <c r="H143" s="34">
        <f>E143*F143</f>
        <v>0</v>
      </c>
    </row>
    <row r="144" spans="1:8" x14ac:dyDescent="0.25">
      <c r="A144" s="70">
        <f>A143</f>
        <v>44135</v>
      </c>
      <c r="B144" s="2" t="s">
        <v>3</v>
      </c>
      <c r="C144" s="63">
        <f>VLOOKUP($A144,Inputs!$A:$J,4,FALSE)</f>
        <v>0</v>
      </c>
      <c r="D144" s="32">
        <v>0</v>
      </c>
      <c r="E144" s="29">
        <f>C144*D144</f>
        <v>0</v>
      </c>
      <c r="F144" s="46">
        <f>F$19</f>
        <v>0.12468820162421723</v>
      </c>
      <c r="G144" s="29"/>
      <c r="H144" s="34">
        <f>E144*F144</f>
        <v>0</v>
      </c>
    </row>
    <row r="145" spans="1:8" x14ac:dyDescent="0.25">
      <c r="A145" s="69"/>
      <c r="C145" s="36"/>
      <c r="D145" s="32"/>
      <c r="E145" s="29"/>
      <c r="F145" s="33"/>
      <c r="G145" s="29"/>
      <c r="H145" s="34"/>
    </row>
    <row r="146" spans="1:8" x14ac:dyDescent="0.25">
      <c r="A146" s="68">
        <f>A144</f>
        <v>44135</v>
      </c>
      <c r="B146" s="2" t="s">
        <v>4</v>
      </c>
      <c r="C146" s="36">
        <f>SUM(C139:C145)</f>
        <v>1010150</v>
      </c>
      <c r="D146" s="32">
        <f>E146/C146</f>
        <v>0</v>
      </c>
      <c r="E146" s="29">
        <f>SUM(E139:E145)</f>
        <v>0</v>
      </c>
      <c r="F146" s="33"/>
      <c r="G146" s="29"/>
      <c r="H146" s="34">
        <f>SUM(H139:H145)</f>
        <v>100653.41740688811</v>
      </c>
    </row>
    <row r="147" spans="1:8" x14ac:dyDescent="0.25">
      <c r="A147" s="69"/>
      <c r="C147" s="36"/>
      <c r="D147" s="32"/>
      <c r="E147" s="29"/>
      <c r="F147" s="33"/>
      <c r="G147" s="29"/>
      <c r="H147" s="34"/>
    </row>
    <row r="148" spans="1:8" x14ac:dyDescent="0.25">
      <c r="A148" s="69"/>
      <c r="B148" s="2" t="s">
        <v>10</v>
      </c>
      <c r="C148" s="36"/>
      <c r="D148" s="32"/>
      <c r="E148" s="29">
        <f>E150-E146</f>
        <v>0</v>
      </c>
      <c r="F148" s="33"/>
      <c r="G148" s="29"/>
      <c r="H148" s="34"/>
    </row>
    <row r="149" spans="1:8" x14ac:dyDescent="0.25">
      <c r="A149" s="69"/>
      <c r="C149" s="36"/>
      <c r="D149" s="32"/>
      <c r="E149" s="29"/>
      <c r="F149" s="33"/>
      <c r="G149" s="29"/>
      <c r="H149" s="34"/>
    </row>
    <row r="150" spans="1:8" x14ac:dyDescent="0.25">
      <c r="A150" s="68">
        <f>A146</f>
        <v>44135</v>
      </c>
      <c r="B150" s="2" t="s">
        <v>6</v>
      </c>
      <c r="C150" s="37">
        <f>C146</f>
        <v>1010150</v>
      </c>
      <c r="D150" s="65">
        <f>VLOOKUP($A150,Inputs!$A:$J,8,FALSE)</f>
        <v>0</v>
      </c>
      <c r="E150" s="38">
        <f>C150*D150</f>
        <v>0</v>
      </c>
      <c r="F150" s="39">
        <f>IFERROR(H150/E150,0)</f>
        <v>0</v>
      </c>
      <c r="G150" s="47"/>
      <c r="H150" s="41">
        <f>H146</f>
        <v>100653.41740688811</v>
      </c>
    </row>
    <row r="151" spans="1:8" s="2" customFormat="1" x14ac:dyDescent="0.25"/>
    <row r="152" spans="1:8" s="2" customFormat="1" x14ac:dyDescent="0.25">
      <c r="C152" s="15" t="s">
        <v>0</v>
      </c>
      <c r="D152" s="15" t="s">
        <v>1</v>
      </c>
      <c r="E152" s="15" t="s">
        <v>29</v>
      </c>
      <c r="F152" s="15" t="s">
        <v>7</v>
      </c>
      <c r="G152" s="15" t="s">
        <v>9</v>
      </c>
      <c r="H152" s="15" t="s">
        <v>40</v>
      </c>
    </row>
    <row r="153" spans="1:8" x14ac:dyDescent="0.25">
      <c r="C153" s="26"/>
      <c r="D153" s="27"/>
      <c r="E153" s="27"/>
      <c r="F153" s="27"/>
      <c r="G153" s="27"/>
      <c r="H153" s="28"/>
    </row>
    <row r="154" spans="1:8" x14ac:dyDescent="0.25">
      <c r="A154" s="68">
        <f>A150</f>
        <v>44135</v>
      </c>
      <c r="B154" s="2" t="s">
        <v>5</v>
      </c>
      <c r="C154" s="42">
        <f>C150</f>
        <v>1010150</v>
      </c>
      <c r="D154" s="43">
        <f>E154/C154</f>
        <v>0</v>
      </c>
      <c r="E154" s="29">
        <f>E150</f>
        <v>0</v>
      </c>
      <c r="F154" s="30">
        <f>IFERROR(H154/E154,0)</f>
        <v>0</v>
      </c>
      <c r="G154" s="44"/>
      <c r="H154" s="45">
        <f>H150</f>
        <v>100653.41740688811</v>
      </c>
    </row>
    <row r="155" spans="1:8" x14ac:dyDescent="0.25">
      <c r="A155" s="69"/>
      <c r="C155" s="36"/>
      <c r="D155" s="32"/>
      <c r="E155" s="29"/>
      <c r="F155" s="33"/>
      <c r="G155" s="29"/>
      <c r="H155" s="34"/>
    </row>
    <row r="156" spans="1:8" x14ac:dyDescent="0.25">
      <c r="A156" s="70">
        <f>EOMONTH(A154,1)</f>
        <v>44165</v>
      </c>
      <c r="B156" s="2" t="s">
        <v>8</v>
      </c>
      <c r="C156" s="63">
        <f>VLOOKUP($A156,Inputs!$A:$J,2,FALSE)</f>
        <v>0</v>
      </c>
      <c r="D156" s="64">
        <f>VLOOKUP($A156,Inputs!$A:$J,6,FALSE)</f>
        <v>0</v>
      </c>
      <c r="E156" s="29">
        <f>C156*D156</f>
        <v>0</v>
      </c>
      <c r="F156" s="35"/>
      <c r="G156" s="66">
        <f>VLOOKUP($A156,Inputs!$A:$J,7,FALSE)</f>
        <v>0</v>
      </c>
      <c r="H156" s="34">
        <f>E156*G156</f>
        <v>0</v>
      </c>
    </row>
    <row r="157" spans="1:8" x14ac:dyDescent="0.25">
      <c r="A157" s="69"/>
      <c r="C157" s="63"/>
      <c r="D157" s="64"/>
      <c r="E157" s="29"/>
      <c r="F157" s="33"/>
      <c r="G157" s="29"/>
      <c r="H157" s="34"/>
    </row>
    <row r="158" spans="1:8" x14ac:dyDescent="0.25">
      <c r="A158" s="70">
        <f>A156</f>
        <v>44165</v>
      </c>
      <c r="B158" s="2" t="s">
        <v>2</v>
      </c>
      <c r="C158" s="63">
        <f>VLOOKUP($A158,Inputs!$A:$J,3,FALSE)</f>
        <v>0</v>
      </c>
      <c r="D158" s="32">
        <v>1</v>
      </c>
      <c r="E158" s="29">
        <f>C158*D158</f>
        <v>0</v>
      </c>
      <c r="F158" s="46">
        <f>F$19</f>
        <v>0.12468820162421723</v>
      </c>
      <c r="G158" s="29"/>
      <c r="H158" s="34">
        <f>E158*F158</f>
        <v>0</v>
      </c>
    </row>
    <row r="159" spans="1:8" x14ac:dyDescent="0.25">
      <c r="A159" s="70">
        <f>A158</f>
        <v>44165</v>
      </c>
      <c r="B159" s="2" t="s">
        <v>3</v>
      </c>
      <c r="C159" s="63">
        <f>VLOOKUP($A159,Inputs!$A:$J,4,FALSE)</f>
        <v>0</v>
      </c>
      <c r="D159" s="32">
        <v>0</v>
      </c>
      <c r="E159" s="29">
        <f>C159*D159</f>
        <v>0</v>
      </c>
      <c r="F159" s="46">
        <f>F$19</f>
        <v>0.12468820162421723</v>
      </c>
      <c r="G159" s="29"/>
      <c r="H159" s="34">
        <f>E159*F159</f>
        <v>0</v>
      </c>
    </row>
    <row r="160" spans="1:8" x14ac:dyDescent="0.25">
      <c r="A160" s="69"/>
      <c r="C160" s="36"/>
      <c r="D160" s="32"/>
      <c r="E160" s="29"/>
      <c r="F160" s="33"/>
      <c r="G160" s="29"/>
      <c r="H160" s="34"/>
    </row>
    <row r="161" spans="1:8" x14ac:dyDescent="0.25">
      <c r="A161" s="68">
        <f>A159</f>
        <v>44165</v>
      </c>
      <c r="B161" s="2" t="s">
        <v>4</v>
      </c>
      <c r="C161" s="36">
        <f>SUM(C154:C160)</f>
        <v>1010150</v>
      </c>
      <c r="D161" s="32">
        <f>E161/C161</f>
        <v>0</v>
      </c>
      <c r="E161" s="29">
        <f>SUM(E154:E160)</f>
        <v>0</v>
      </c>
      <c r="F161" s="33"/>
      <c r="G161" s="29"/>
      <c r="H161" s="34">
        <f>SUM(H154:H160)</f>
        <v>100653.41740688811</v>
      </c>
    </row>
    <row r="162" spans="1:8" x14ac:dyDescent="0.25">
      <c r="A162" s="69"/>
      <c r="C162" s="36"/>
      <c r="D162" s="32"/>
      <c r="E162" s="29"/>
      <c r="F162" s="33"/>
      <c r="G162" s="29"/>
      <c r="H162" s="34"/>
    </row>
    <row r="163" spans="1:8" x14ac:dyDescent="0.25">
      <c r="A163" s="69"/>
      <c r="B163" s="2" t="s">
        <v>10</v>
      </c>
      <c r="C163" s="36"/>
      <c r="D163" s="32"/>
      <c r="E163" s="29">
        <f>E165-E161</f>
        <v>0</v>
      </c>
      <c r="F163" s="33"/>
      <c r="G163" s="29"/>
      <c r="H163" s="34"/>
    </row>
    <row r="164" spans="1:8" x14ac:dyDescent="0.25">
      <c r="A164" s="69"/>
      <c r="C164" s="36"/>
      <c r="D164" s="32"/>
      <c r="E164" s="29"/>
      <c r="F164" s="33"/>
      <c r="G164" s="29"/>
      <c r="H164" s="34"/>
    </row>
    <row r="165" spans="1:8" x14ac:dyDescent="0.25">
      <c r="A165" s="68">
        <f>A161</f>
        <v>44165</v>
      </c>
      <c r="B165" s="2" t="s">
        <v>6</v>
      </c>
      <c r="C165" s="37">
        <f>C161</f>
        <v>1010150</v>
      </c>
      <c r="D165" s="65">
        <f>VLOOKUP($A165,Inputs!$A:$J,8,FALSE)</f>
        <v>0</v>
      </c>
      <c r="E165" s="38">
        <f>C165*D165</f>
        <v>0</v>
      </c>
      <c r="F165" s="39">
        <f>IFERROR(H165/E165,0)</f>
        <v>0</v>
      </c>
      <c r="G165" s="47"/>
      <c r="H165" s="41">
        <f>H161</f>
        <v>100653.41740688811</v>
      </c>
    </row>
    <row r="166" spans="1:8" s="2" customFormat="1" x14ac:dyDescent="0.25"/>
    <row r="167" spans="1:8" s="2" customFormat="1" x14ac:dyDescent="0.25">
      <c r="C167" s="15" t="s">
        <v>0</v>
      </c>
      <c r="D167" s="15" t="s">
        <v>1</v>
      </c>
      <c r="E167" s="15" t="s">
        <v>29</v>
      </c>
      <c r="F167" s="15" t="s">
        <v>7</v>
      </c>
      <c r="G167" s="15" t="s">
        <v>9</v>
      </c>
      <c r="H167" s="15" t="s">
        <v>40</v>
      </c>
    </row>
    <row r="168" spans="1:8" x14ac:dyDescent="0.25">
      <c r="C168" s="26"/>
      <c r="D168" s="27"/>
      <c r="E168" s="27"/>
      <c r="F168" s="27"/>
      <c r="G168" s="27"/>
      <c r="H168" s="28"/>
    </row>
    <row r="169" spans="1:8" x14ac:dyDescent="0.25">
      <c r="A169" s="68">
        <f>A165</f>
        <v>44165</v>
      </c>
      <c r="B169" s="2" t="s">
        <v>5</v>
      </c>
      <c r="C169" s="42">
        <f>C165</f>
        <v>1010150</v>
      </c>
      <c r="D169" s="43">
        <f>E169/C169</f>
        <v>0</v>
      </c>
      <c r="E169" s="29">
        <f>E165</f>
        <v>0</v>
      </c>
      <c r="F169" s="30">
        <f>IFERROR(H169/E169,0)</f>
        <v>0</v>
      </c>
      <c r="G169" s="44"/>
      <c r="H169" s="45">
        <f>H165</f>
        <v>100653.41740688811</v>
      </c>
    </row>
    <row r="170" spans="1:8" x14ac:dyDescent="0.25">
      <c r="A170" s="69"/>
      <c r="C170" s="36"/>
      <c r="D170" s="32"/>
      <c r="E170" s="29"/>
      <c r="F170" s="33"/>
      <c r="G170" s="29"/>
      <c r="H170" s="34"/>
    </row>
    <row r="171" spans="1:8" x14ac:dyDescent="0.25">
      <c r="A171" s="70">
        <f>EOMONTH(A169,1)</f>
        <v>44196</v>
      </c>
      <c r="B171" s="2" t="s">
        <v>8</v>
      </c>
      <c r="C171" s="63">
        <f>VLOOKUP($A171,Inputs!$A:$J,2,FALSE)</f>
        <v>0</v>
      </c>
      <c r="D171" s="64">
        <f>VLOOKUP($A171,Inputs!$A:$J,6,FALSE)</f>
        <v>0</v>
      </c>
      <c r="E171" s="29">
        <f>C171*D171</f>
        <v>0</v>
      </c>
      <c r="F171" s="35"/>
      <c r="G171" s="66">
        <f>VLOOKUP($A171,Inputs!$A:$J,7,FALSE)</f>
        <v>0</v>
      </c>
      <c r="H171" s="34">
        <f>E171*G171</f>
        <v>0</v>
      </c>
    </row>
    <row r="172" spans="1:8" x14ac:dyDescent="0.25">
      <c r="A172" s="69"/>
      <c r="C172" s="63"/>
      <c r="D172" s="64"/>
      <c r="E172" s="29"/>
      <c r="F172" s="33"/>
      <c r="G172" s="29"/>
      <c r="H172" s="34"/>
    </row>
    <row r="173" spans="1:8" x14ac:dyDescent="0.25">
      <c r="A173" s="70">
        <f>A171</f>
        <v>44196</v>
      </c>
      <c r="B173" s="2" t="s">
        <v>2</v>
      </c>
      <c r="C173" s="63">
        <f>VLOOKUP($A173,Inputs!$A:$J,3,FALSE)</f>
        <v>0</v>
      </c>
      <c r="D173" s="32">
        <v>1</v>
      </c>
      <c r="E173" s="29">
        <f>C173*D173</f>
        <v>0</v>
      </c>
      <c r="F173" s="46">
        <f>F$19</f>
        <v>0.12468820162421723</v>
      </c>
      <c r="G173" s="29"/>
      <c r="H173" s="34">
        <f>E173*F173</f>
        <v>0</v>
      </c>
    </row>
    <row r="174" spans="1:8" x14ac:dyDescent="0.25">
      <c r="A174" s="70">
        <f>A173</f>
        <v>44196</v>
      </c>
      <c r="B174" s="2" t="s">
        <v>3</v>
      </c>
      <c r="C174" s="63">
        <f>VLOOKUP($A174,Inputs!$A:$J,4,FALSE)</f>
        <v>0</v>
      </c>
      <c r="D174" s="32">
        <v>0</v>
      </c>
      <c r="E174" s="29">
        <f>C174*D174</f>
        <v>0</v>
      </c>
      <c r="F174" s="46">
        <f>F$19</f>
        <v>0.12468820162421723</v>
      </c>
      <c r="G174" s="29"/>
      <c r="H174" s="34">
        <f>E174*F174</f>
        <v>0</v>
      </c>
    </row>
    <row r="175" spans="1:8" x14ac:dyDescent="0.25">
      <c r="A175" s="69"/>
      <c r="C175" s="36"/>
      <c r="D175" s="32"/>
      <c r="E175" s="29"/>
      <c r="F175" s="33"/>
      <c r="G175" s="29"/>
      <c r="H175" s="34"/>
    </row>
    <row r="176" spans="1:8" x14ac:dyDescent="0.25">
      <c r="A176" s="68">
        <f>A174</f>
        <v>44196</v>
      </c>
      <c r="B176" s="2" t="s">
        <v>4</v>
      </c>
      <c r="C176" s="36">
        <f>SUM(C169:C175)</f>
        <v>1010150</v>
      </c>
      <c r="D176" s="32">
        <f>E176/C176</f>
        <v>0</v>
      </c>
      <c r="E176" s="29">
        <f>SUM(E169:E175)</f>
        <v>0</v>
      </c>
      <c r="F176" s="33"/>
      <c r="G176" s="29"/>
      <c r="H176" s="34">
        <f>SUM(H169:H175)</f>
        <v>100653.41740688811</v>
      </c>
    </row>
    <row r="177" spans="1:8" x14ac:dyDescent="0.25">
      <c r="A177" s="69"/>
      <c r="C177" s="36"/>
      <c r="D177" s="32"/>
      <c r="E177" s="29"/>
      <c r="F177" s="33"/>
      <c r="G177" s="29"/>
      <c r="H177" s="34"/>
    </row>
    <row r="178" spans="1:8" x14ac:dyDescent="0.25">
      <c r="A178" s="69"/>
      <c r="B178" s="2" t="s">
        <v>10</v>
      </c>
      <c r="C178" s="36"/>
      <c r="D178" s="32"/>
      <c r="E178" s="29">
        <f>E180-E176</f>
        <v>0</v>
      </c>
      <c r="F178" s="33"/>
      <c r="G178" s="29"/>
      <c r="H178" s="34"/>
    </row>
    <row r="179" spans="1:8" x14ac:dyDescent="0.25">
      <c r="A179" s="69"/>
      <c r="C179" s="36"/>
      <c r="D179" s="32"/>
      <c r="E179" s="29"/>
      <c r="F179" s="33"/>
      <c r="G179" s="29"/>
      <c r="H179" s="34"/>
    </row>
    <row r="180" spans="1:8" x14ac:dyDescent="0.25">
      <c r="A180" s="68">
        <f>A176</f>
        <v>44196</v>
      </c>
      <c r="B180" s="2" t="s">
        <v>6</v>
      </c>
      <c r="C180" s="37">
        <f>C176</f>
        <v>1010150</v>
      </c>
      <c r="D180" s="65">
        <f>VLOOKUP($A180,Inputs!$A:$J,8,FALSE)</f>
        <v>0</v>
      </c>
      <c r="E180" s="38">
        <f>C180*D180</f>
        <v>0</v>
      </c>
      <c r="F180" s="39">
        <f>IFERROR(H180/E180,0)</f>
        <v>0</v>
      </c>
      <c r="G180" s="47"/>
      <c r="H180" s="41">
        <f>H176</f>
        <v>100653.41740688811</v>
      </c>
    </row>
    <row r="181" spans="1:8" s="2" customFormat="1" x14ac:dyDescent="0.25"/>
    <row r="182" spans="1:8" s="2" customFormat="1" x14ac:dyDescent="0.25"/>
    <row r="183" spans="1:8" s="2" customFormat="1" x14ac:dyDescent="0.25"/>
    <row r="184" spans="1:8" s="2" customFormat="1" x14ac:dyDescent="0.25"/>
    <row r="185" spans="1:8" s="2" customFormat="1" x14ac:dyDescent="0.25"/>
    <row r="186" spans="1:8" s="2" customFormat="1" x14ac:dyDescent="0.25"/>
    <row r="187" spans="1:8" s="2" customFormat="1" x14ac:dyDescent="0.25"/>
    <row r="188" spans="1:8" s="2" customFormat="1" x14ac:dyDescent="0.25"/>
    <row r="189" spans="1:8" s="2" customFormat="1" x14ac:dyDescent="0.25"/>
    <row r="190" spans="1:8" s="2" customFormat="1" x14ac:dyDescent="0.25"/>
    <row r="191" spans="1:8" s="2" customFormat="1" x14ac:dyDescent="0.25"/>
    <row r="192" spans="1:8"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sheetData>
  <sheetProtection algorithmName="SHA-512" hashValue="UNynTBOaLcjSxIpttXof5H3zoKpoO2imoyu3Q34K4xvz9JEO1lrFNJ2NukgKHAqG8PNcCxhizszG5sAzDsFqtg==" saltValue="zQD96YOphZozUg1Ey6f1zQ==" spinCount="100000" sheet="1" objects="1" scenarios="1"/>
  <pageMargins left="0.7" right="0.7" top="0.75" bottom="0.75" header="0.3" footer="0.3"/>
  <pageSetup orientation="portrait" verticalDpi="0" r:id="rId1"/>
  <ignoredErrors>
    <ignoredError sqref="F8:F9 D11 D19 D26 D34:D56 D151 D136 D106 D91 D64:D90 D92:D105 D107:D135 D137:D150 D152:D176" 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 KYROS</vt:lpstr>
      <vt:lpstr>Info</vt:lpstr>
      <vt:lpstr>Inputs</vt:lpstr>
      <vt:lpstr>Outputs</vt:lpstr>
      <vt:lpstr>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dc:creator>
  <cp:lastModifiedBy>Julie Hagerstrand</cp:lastModifiedBy>
  <dcterms:created xsi:type="dcterms:W3CDTF">2018-08-31T17:54:31Z</dcterms:created>
  <dcterms:modified xsi:type="dcterms:W3CDTF">2020-05-26T20:43:07Z</dcterms:modified>
</cp:coreProperties>
</file>